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785" windowWidth="11355" windowHeight="4470"/>
  </bookViews>
  <sheets>
    <sheet name="2018" sheetId="1" r:id="rId1"/>
  </sheets>
  <definedNames>
    <definedName name="_xlnm._FilterDatabase" localSheetId="0" hidden="1">'2018'!$A$18:$G$18</definedName>
    <definedName name="_xlnm.Print_Titles" localSheetId="0">'2018'!$17:$17</definedName>
  </definedNames>
  <calcPr calcId="145621" calcOnSave="0"/>
</workbook>
</file>

<file path=xl/calcChain.xml><?xml version="1.0" encoding="utf-8"?>
<calcChain xmlns="http://schemas.openxmlformats.org/spreadsheetml/2006/main">
  <c r="F232" i="1" l="1"/>
  <c r="F53" i="1"/>
  <c r="F858" i="1" l="1"/>
  <c r="F844" i="1"/>
  <c r="F819" i="1"/>
  <c r="F806" i="1"/>
  <c r="F766" i="1"/>
  <c r="F738" i="1"/>
  <c r="F596" i="1"/>
  <c r="F546" i="1"/>
  <c r="F515" i="1"/>
  <c r="F425" i="1"/>
  <c r="F384" i="1"/>
  <c r="F365" i="1"/>
  <c r="F362" i="1"/>
  <c r="F267" i="1"/>
  <c r="F193" i="1"/>
  <c r="F192" i="1" s="1"/>
  <c r="F150" i="1"/>
  <c r="F149" i="1"/>
  <c r="F144" i="1"/>
  <c r="F123" i="1"/>
  <c r="F67" i="1"/>
  <c r="F402" i="1" l="1"/>
  <c r="F401" i="1" s="1"/>
  <c r="F400" i="1" s="1"/>
  <c r="F520" i="1"/>
  <c r="F519" i="1" s="1"/>
  <c r="F234" i="1"/>
  <c r="F446" i="1"/>
  <c r="F587" i="1" l="1"/>
  <c r="F586" i="1" s="1"/>
  <c r="F585" i="1" s="1"/>
  <c r="F451" i="1"/>
  <c r="F450" i="1" s="1"/>
  <c r="F851" i="1"/>
  <c r="F850" i="1" s="1"/>
  <c r="F210" i="1" l="1"/>
  <c r="F915" i="1"/>
  <c r="F682" i="1" l="1"/>
  <c r="F681" i="1" s="1"/>
  <c r="F680" i="1" s="1"/>
  <c r="F530" i="1" l="1"/>
  <c r="F529" i="1" s="1"/>
  <c r="F373" i="1" l="1"/>
  <c r="F372" i="1" s="1"/>
  <c r="F371" i="1" s="1"/>
  <c r="F370" i="1" s="1"/>
  <c r="F791" i="1" l="1"/>
  <c r="F790" i="1" s="1"/>
  <c r="F687" i="1"/>
  <c r="F886" i="1"/>
  <c r="F812" i="1"/>
  <c r="F776" i="1"/>
  <c r="F769" i="1"/>
  <c r="F762" i="1"/>
  <c r="F756" i="1"/>
  <c r="F747" i="1"/>
  <c r="F713" i="1"/>
  <c r="F679" i="1"/>
  <c r="F678" i="1" s="1"/>
  <c r="F608" i="1"/>
  <c r="F593" i="1"/>
  <c r="F568" i="1"/>
  <c r="F563" i="1"/>
  <c r="F561" i="1"/>
  <c r="F555" i="1"/>
  <c r="F554" i="1" s="1"/>
  <c r="F540" i="1"/>
  <c r="F536" i="1"/>
  <c r="F528" i="1"/>
  <c r="F442" i="1"/>
  <c r="F433" i="1"/>
  <c r="F432" i="1" s="1"/>
  <c r="F424" i="1"/>
  <c r="F419" i="1"/>
  <c r="F414" i="1"/>
  <c r="F346" i="1"/>
  <c r="F341" i="1"/>
  <c r="F340" i="1" s="1"/>
  <c r="F339" i="1" s="1"/>
  <c r="F338" i="1" s="1"/>
  <c r="F319" i="1"/>
  <c r="F277" i="1"/>
  <c r="F271" i="1"/>
  <c r="F250" i="1"/>
  <c r="F228" i="1"/>
  <c r="F224" i="1"/>
  <c r="F220" i="1"/>
  <c r="F217" i="1"/>
  <c r="F216" i="1"/>
  <c r="F213" i="1"/>
  <c r="F209" i="1"/>
  <c r="F206" i="1"/>
  <c r="F198" i="1"/>
  <c r="F196" i="1"/>
  <c r="F191" i="1"/>
  <c r="F188" i="1"/>
  <c r="F175" i="1"/>
  <c r="F171" i="1"/>
  <c r="F162" i="1"/>
  <c r="F156" i="1"/>
  <c r="F155" i="1"/>
  <c r="F152" i="1"/>
  <c r="F143" i="1"/>
  <c r="F135" i="1"/>
  <c r="F129" i="1"/>
  <c r="F117" i="1"/>
  <c r="F111" i="1"/>
  <c r="F101" i="1"/>
  <c r="F94" i="1"/>
  <c r="F88" i="1"/>
  <c r="F81" i="1"/>
  <c r="F73" i="1"/>
  <c r="F66" i="1"/>
  <c r="F60" i="1"/>
  <c r="F56" i="1"/>
  <c r="F52" i="1"/>
  <c r="F47" i="1"/>
  <c r="F40" i="1"/>
  <c r="F35" i="1"/>
  <c r="F27" i="1"/>
  <c r="F23" i="1"/>
  <c r="F231" i="1" l="1"/>
  <c r="F169" i="1"/>
  <c r="F874" i="1" l="1"/>
  <c r="F873" i="1" s="1"/>
  <c r="F868" i="1"/>
  <c r="F867" i="1" s="1"/>
  <c r="F866" i="1" s="1"/>
  <c r="F831" i="1"/>
  <c r="F830" i="1" s="1"/>
  <c r="F829" i="1" s="1"/>
  <c r="F828" i="1"/>
  <c r="F795" i="1"/>
  <c r="F794" i="1" s="1"/>
  <c r="F789" i="1"/>
  <c r="F788" i="1" s="1"/>
  <c r="F805" i="1" l="1"/>
  <c r="F803" i="1"/>
  <c r="F781" i="1"/>
  <c r="F802" i="1" l="1"/>
  <c r="F712" i="1"/>
  <c r="F711" i="1" s="1"/>
  <c r="F710" i="1" s="1"/>
  <c r="F709" i="1" s="1"/>
  <c r="F668" i="1"/>
  <c r="F667" i="1" s="1"/>
  <c r="F677" i="1"/>
  <c r="F633" i="1"/>
  <c r="F607" i="1"/>
  <c r="F609" i="1"/>
  <c r="F574" i="1"/>
  <c r="F541" i="1"/>
  <c r="F511" i="1"/>
  <c r="F493" i="1"/>
  <c r="F491" i="1"/>
  <c r="F472" i="1"/>
  <c r="F471" i="1" s="1"/>
  <c r="F470" i="1" s="1"/>
  <c r="F490" i="1" l="1"/>
  <c r="F489" i="1" s="1"/>
  <c r="F606" i="1"/>
  <c r="F605" i="1" s="1"/>
  <c r="F604" i="1" s="1"/>
  <c r="F448" i="1"/>
  <c r="F445" i="1" s="1"/>
  <c r="F461" i="1"/>
  <c r="F457" i="1"/>
  <c r="F440" i="1"/>
  <c r="F438" i="1"/>
  <c r="F435" i="1"/>
  <c r="F411" i="1"/>
  <c r="F407" i="1"/>
  <c r="F406" i="1" s="1"/>
  <c r="F376" i="1"/>
  <c r="F437" i="1" l="1"/>
  <c r="F431" i="1" s="1"/>
  <c r="F345" i="1"/>
  <c r="F344" i="1" s="1"/>
  <c r="F343" i="1" s="1"/>
  <c r="F334" i="1"/>
  <c r="F330" i="1"/>
  <c r="F329" i="1" s="1"/>
  <c r="F328" i="1" s="1"/>
  <c r="F320" i="1"/>
  <c r="F313" i="1"/>
  <c r="F307" i="1"/>
  <c r="F265" i="1"/>
  <c r="F238" i="1"/>
  <c r="F236" i="1" s="1"/>
  <c r="F229" i="1"/>
  <c r="F203" i="1"/>
  <c r="F134" i="1"/>
  <c r="F133" i="1" s="1"/>
  <c r="F132" i="1" s="1"/>
  <c r="F131" i="1" s="1"/>
  <c r="F118" i="1"/>
  <c r="F28" i="1"/>
  <c r="F800" i="1" l="1"/>
  <c r="F721" i="1" l="1"/>
  <c r="F636" i="1"/>
  <c r="F538" i="1"/>
  <c r="F488" i="1"/>
  <c r="F482" i="1"/>
  <c r="F455" i="1"/>
  <c r="F413" i="1"/>
  <c r="F359" i="1"/>
  <c r="F308" i="1"/>
  <c r="F225" i="1"/>
  <c r="F214" i="1"/>
  <c r="F163" i="1"/>
  <c r="F112" i="1"/>
  <c r="F95" i="1"/>
  <c r="F89" i="1"/>
  <c r="F82" i="1"/>
  <c r="F61" i="1"/>
  <c r="F871" i="1" l="1"/>
  <c r="F870" i="1" s="1"/>
  <c r="F548" i="1"/>
  <c r="F354" i="1"/>
  <c r="F353" i="1" s="1"/>
  <c r="F352" i="1" s="1"/>
  <c r="F199" i="1"/>
  <c r="F381" i="1" l="1"/>
  <c r="F253" i="1"/>
  <c r="F252" i="1" s="1"/>
  <c r="F251" i="1" s="1"/>
  <c r="F318" i="1"/>
  <c r="F170" i="1"/>
  <c r="F190" i="1" l="1"/>
  <c r="F311" i="1"/>
  <c r="F310" i="1" s="1"/>
  <c r="F551" i="1"/>
  <c r="F550" i="1" s="1"/>
  <c r="F517" i="1"/>
  <c r="F516" i="1" s="1"/>
  <c r="F798" i="1"/>
  <c r="F545" i="1"/>
  <c r="F544" i="1" s="1"/>
  <c r="F543" i="1" s="1"/>
  <c r="F797" i="1" l="1"/>
  <c r="F398" i="1"/>
  <c r="F397" i="1" s="1"/>
  <c r="F717" i="1" l="1"/>
  <c r="F715" i="1" s="1"/>
  <c r="F628" i="1" l="1"/>
  <c r="F547" i="1" l="1"/>
  <c r="F693" i="1"/>
  <c r="F306" i="1"/>
  <c r="F626" i="1" l="1"/>
  <c r="F358" i="1" l="1"/>
  <c r="F357" i="1" s="1"/>
  <c r="F857" i="1"/>
  <c r="F861" i="1"/>
  <c r="F418" i="1"/>
  <c r="F417" i="1" s="1"/>
  <c r="F416" i="1" s="1"/>
  <c r="F368" i="1"/>
  <c r="F361" i="1"/>
  <c r="F360" i="1" s="1"/>
  <c r="F422" i="1"/>
  <c r="F396" i="1"/>
  <c r="F617" i="1"/>
  <c r="F616" i="1" s="1"/>
  <c r="F614" i="1"/>
  <c r="F421" i="1" l="1"/>
  <c r="F420" i="1" s="1"/>
  <c r="F168" i="1"/>
  <c r="F266" i="1"/>
  <c r="F497" i="1"/>
  <c r="F496" i="1" s="1"/>
  <c r="F495" i="1" s="1"/>
  <c r="F843" i="1" l="1"/>
  <c r="F842" i="1" s="1"/>
  <c r="F841" i="1" s="1"/>
  <c r="F840" i="1" s="1"/>
  <c r="F674" i="1" l="1"/>
  <c r="F695" i="1" l="1"/>
  <c r="F350" i="1" l="1"/>
  <c r="F348" i="1" s="1"/>
  <c r="F468" i="1" l="1"/>
  <c r="F467" i="1" s="1"/>
  <c r="F466" i="1" s="1"/>
  <c r="F465" i="1" s="1"/>
  <c r="F736" i="1" l="1"/>
  <c r="F719" i="1"/>
  <c r="F690" i="1"/>
  <c r="F686" i="1" s="1"/>
  <c r="F676" i="1"/>
  <c r="F665" i="1"/>
  <c r="F664" i="1"/>
  <c r="F817" i="1"/>
  <c r="F778" i="1"/>
  <c r="F881" i="1"/>
  <c r="F879" i="1"/>
  <c r="F464" i="1"/>
  <c r="F215" i="1"/>
  <c r="F264" i="1"/>
  <c r="F76" i="1"/>
  <c r="F74" i="1" l="1"/>
  <c r="F102" i="1"/>
  <c r="F113" i="1"/>
  <c r="F758" i="1" l="1"/>
  <c r="F757" i="1" s="1"/>
  <c r="F646" i="1" l="1"/>
  <c r="F650" i="1"/>
  <c r="F656" i="1"/>
  <c r="F903" i="1" l="1"/>
  <c r="F735" i="1" l="1"/>
  <c r="F737" i="1"/>
  <c r="F880" i="1"/>
  <c r="F878" i="1"/>
  <c r="F818" i="1"/>
  <c r="F816" i="1"/>
  <c r="F627" i="1"/>
  <c r="F625" i="1"/>
  <c r="F815" i="1" l="1"/>
  <c r="F814" i="1" s="1"/>
  <c r="F72" i="1"/>
  <c r="F71" i="1" l="1"/>
  <c r="F70" i="1" s="1"/>
  <c r="F69" i="1" s="1"/>
  <c r="F707" i="1"/>
  <c r="F706" i="1" s="1"/>
  <c r="F705" i="1" s="1"/>
  <c r="F703" i="1"/>
  <c r="F702" i="1" s="1"/>
  <c r="F700" i="1"/>
  <c r="F699" i="1" s="1"/>
  <c r="F741" i="1"/>
  <c r="F740" i="1" s="1"/>
  <c r="F739" i="1" s="1"/>
  <c r="F612" i="1"/>
  <c r="F611" i="1" s="1"/>
  <c r="F655" i="1"/>
  <c r="F654" i="1" s="1"/>
  <c r="F652" i="1"/>
  <c r="F651" i="1" s="1"/>
  <c r="F649" i="1"/>
  <c r="F648" i="1" s="1"/>
  <c r="F645" i="1"/>
  <c r="F644" i="1" s="1"/>
  <c r="F641" i="1"/>
  <c r="F640" i="1" s="1"/>
  <c r="F638" i="1"/>
  <c r="F637" i="1" s="1"/>
  <c r="F635" i="1"/>
  <c r="F634" i="1" s="1"/>
  <c r="F632" i="1"/>
  <c r="F631" i="1" s="1"/>
  <c r="F621" i="1"/>
  <c r="F620" i="1" s="1"/>
  <c r="F619" i="1" s="1"/>
  <c r="F537" i="1"/>
  <c r="F514" i="1"/>
  <c r="F513" i="1" s="1"/>
  <c r="F512" i="1" s="1"/>
  <c r="F734" i="1" l="1"/>
  <c r="F733" i="1" s="1"/>
  <c r="F624" i="1"/>
  <c r="F623" i="1" s="1"/>
  <c r="F643" i="1"/>
  <c r="F630" i="1"/>
  <c r="F877" i="1"/>
  <c r="F876" i="1" s="1"/>
  <c r="F629" i="1" l="1"/>
  <c r="F603" i="1" s="1"/>
  <c r="F291" i="1"/>
  <c r="F290" i="1" s="1"/>
  <c r="F294" i="1"/>
  <c r="F293" i="1" s="1"/>
  <c r="F93" i="1"/>
  <c r="F92" i="1" s="1"/>
  <c r="F91" i="1" s="1"/>
  <c r="F289" i="1" l="1"/>
  <c r="F106" i="1"/>
  <c r="F105" i="1" s="1"/>
  <c r="F104" i="1" s="1"/>
  <c r="F894" i="1" l="1"/>
  <c r="F893" i="1" s="1"/>
  <c r="F891" i="1"/>
  <c r="F890" i="1" s="1"/>
  <c r="F786" i="1"/>
  <c r="F785" i="1" s="1"/>
  <c r="F783" i="1"/>
  <c r="F782" i="1" s="1"/>
  <c r="F601" i="1"/>
  <c r="F600" i="1" s="1"/>
  <c r="F598" i="1"/>
  <c r="F597" i="1" s="1"/>
  <c r="F579" i="1"/>
  <c r="F578" i="1" s="1"/>
  <c r="F576" i="1"/>
  <c r="F575" i="1" s="1"/>
  <c r="F383" i="1"/>
  <c r="F380" i="1" s="1"/>
  <c r="F262" i="1" l="1"/>
  <c r="F261" i="1" s="1"/>
  <c r="F260" i="1" s="1"/>
  <c r="F777" i="1" l="1"/>
  <c r="F195" i="1" l="1"/>
  <c r="F177" i="1"/>
  <c r="F387" i="1" l="1"/>
  <c r="F386" i="1" s="1"/>
  <c r="F385" i="1" s="1"/>
  <c r="F378" i="1"/>
  <c r="F375" i="1" s="1"/>
  <c r="F369" i="1" s="1"/>
  <c r="F26" i="1" l="1"/>
  <c r="F270" i="1"/>
  <c r="F269" i="1" s="1"/>
  <c r="F268" i="1" s="1"/>
  <c r="F259" i="1" s="1"/>
  <c r="F223" i="1" l="1"/>
  <c r="F219" i="1"/>
  <c r="F212" i="1"/>
  <c r="F205" i="1" l="1"/>
  <c r="F197" i="1"/>
  <c r="F187" i="1"/>
  <c r="F184" i="1"/>
  <c r="F182" i="1"/>
  <c r="F179" i="1"/>
  <c r="F663" i="1" l="1"/>
  <c r="F662" i="1" s="1"/>
  <c r="F527" i="1"/>
  <c r="F526" i="1" s="1"/>
  <c r="F525" i="1" s="1"/>
  <c r="F524" i="1" s="1"/>
  <c r="F505" i="1"/>
  <c r="F504" i="1" s="1"/>
  <c r="F503" i="1" s="1"/>
  <c r="F502" i="1" s="1"/>
  <c r="F161" i="1"/>
  <c r="F661" i="1" l="1"/>
  <c r="F660" i="1" s="1"/>
  <c r="F730" i="1"/>
  <c r="F729" i="1" s="1"/>
  <c r="F727" i="1" l="1"/>
  <c r="F726" i="1" s="1"/>
  <c r="F724" i="1"/>
  <c r="F723" i="1" s="1"/>
  <c r="F722" i="1" l="1"/>
  <c r="F487" i="1"/>
  <c r="F463" i="1"/>
  <c r="F848" i="1"/>
  <c r="F847" i="1" s="1"/>
  <c r="F846" i="1" s="1"/>
  <c r="F845" i="1" s="1"/>
  <c r="F839" i="1" s="1"/>
  <c r="F164" i="1" l="1"/>
  <c r="F249" i="1" l="1"/>
  <c r="F248" i="1" l="1"/>
  <c r="F247" i="1" s="1"/>
  <c r="F692" i="1"/>
  <c r="F920" i="1" l="1"/>
  <c r="F761" i="1" l="1"/>
  <c r="F759" i="1"/>
  <c r="F481" i="1"/>
  <c r="F428" i="1"/>
  <c r="F427" i="1" s="1"/>
  <c r="F426" i="1" s="1"/>
  <c r="F415" i="1" s="1"/>
  <c r="F479" i="1" l="1"/>
  <c r="F480" i="1"/>
  <c r="F333" i="1"/>
  <c r="F332" i="1" s="1"/>
  <c r="F282" i="1"/>
  <c r="F281" i="1" s="1"/>
  <c r="F280" i="1" s="1"/>
  <c r="F276" i="1"/>
  <c r="F287" i="1"/>
  <c r="F274" i="1"/>
  <c r="F80" i="1"/>
  <c r="F79" i="1" s="1"/>
  <c r="F78" i="1" s="1"/>
  <c r="F919" i="1"/>
  <c r="F918" i="1" s="1"/>
  <c r="F273" i="1" l="1"/>
  <c r="F272" i="1" s="1"/>
  <c r="F478" i="1"/>
  <c r="F477" i="1" s="1"/>
  <c r="F227" i="1"/>
  <c r="F245" i="1" l="1"/>
  <c r="F244" i="1" s="1"/>
  <c r="F243" i="1" s="1"/>
  <c r="F208" i="1" l="1"/>
  <c r="F241" i="1" l="1"/>
  <c r="F240" i="1" s="1"/>
  <c r="F239" i="1" s="1"/>
  <c r="F409" i="1" l="1"/>
  <c r="F408" i="1" s="1"/>
  <c r="F364" i="1"/>
  <c r="F363" i="1" s="1"/>
  <c r="F356" i="1" s="1"/>
  <c r="F257" i="1"/>
  <c r="F256" i="1" s="1"/>
  <c r="F255" i="1" s="1"/>
  <c r="F174" i="1" l="1"/>
  <c r="F65" i="1"/>
  <c r="F64" i="1" s="1"/>
  <c r="F63" i="1" s="1"/>
  <c r="F59" i="1"/>
  <c r="F58" i="1" s="1"/>
  <c r="F57" i="1" s="1"/>
  <c r="F907" i="1" l="1"/>
  <c r="F906" i="1" s="1"/>
  <c r="F87" i="1" l="1"/>
  <c r="F902" i="1" l="1"/>
  <c r="F898" i="1"/>
  <c r="F897" i="1" s="1"/>
  <c r="F885" i="1"/>
  <c r="F884" i="1" s="1"/>
  <c r="F888" i="1"/>
  <c r="F887" i="1" s="1"/>
  <c r="F826" i="1"/>
  <c r="F825" i="1" s="1"/>
  <c r="F824" i="1" s="1"/>
  <c r="F811" i="1"/>
  <c r="F810" i="1" s="1"/>
  <c r="F809" i="1" s="1"/>
  <c r="F808" i="1" s="1"/>
  <c r="F807" i="1" s="1"/>
  <c r="F755" i="1"/>
  <c r="F754" i="1" s="1"/>
  <c r="F753" i="1" s="1"/>
  <c r="F765" i="1"/>
  <c r="F764" i="1" s="1"/>
  <c r="F768" i="1"/>
  <c r="F767" i="1" s="1"/>
  <c r="F772" i="1"/>
  <c r="F771" i="1" s="1"/>
  <c r="F775" i="1"/>
  <c r="F774" i="1" s="1"/>
  <c r="F780" i="1"/>
  <c r="F779" i="1" s="1"/>
  <c r="F673" i="1"/>
  <c r="F675" i="1"/>
  <c r="F685" i="1"/>
  <c r="F691" i="1"/>
  <c r="F697" i="1"/>
  <c r="F696" i="1" s="1"/>
  <c r="F718" i="1"/>
  <c r="F720" i="1"/>
  <c r="F746" i="1"/>
  <c r="F745" i="1" s="1"/>
  <c r="F744" i="1" s="1"/>
  <c r="F743" i="1" s="1"/>
  <c r="F595" i="1"/>
  <c r="F594" i="1" s="1"/>
  <c r="F592" i="1"/>
  <c r="F591" i="1" s="1"/>
  <c r="F714" i="1" l="1"/>
  <c r="F684" i="1"/>
  <c r="F672" i="1"/>
  <c r="F671" i="1" s="1"/>
  <c r="F883" i="1"/>
  <c r="F882" i="1" s="1"/>
  <c r="F865" i="1" s="1"/>
  <c r="F590" i="1"/>
  <c r="F589" i="1" s="1"/>
  <c r="F770" i="1"/>
  <c r="F901" i="1"/>
  <c r="F900" i="1" s="1"/>
  <c r="F896" i="1" s="1"/>
  <c r="F763" i="1"/>
  <c r="F573" i="1"/>
  <c r="F572" i="1" s="1"/>
  <c r="F570" i="1"/>
  <c r="F569" i="1" s="1"/>
  <c r="F567" i="1"/>
  <c r="F566" i="1" s="1"/>
  <c r="F670" i="1" l="1"/>
  <c r="F659" i="1" s="1"/>
  <c r="F752" i="1"/>
  <c r="F751" i="1" s="1"/>
  <c r="F565" i="1"/>
  <c r="F562" i="1"/>
  <c r="F560" i="1"/>
  <c r="F539" i="1"/>
  <c r="F535" i="1"/>
  <c r="F534" i="1" l="1"/>
  <c r="F559" i="1"/>
  <c r="F558" i="1" s="1"/>
  <c r="F557" i="1" s="1"/>
  <c r="F486" i="1"/>
  <c r="F485" i="1" s="1"/>
  <c r="F456" i="1"/>
  <c r="F395" i="1"/>
  <c r="F394" i="1" s="1"/>
  <c r="F393" i="1" s="1"/>
  <c r="F392" i="1" s="1"/>
  <c r="F367" i="1"/>
  <c r="F366" i="1" s="1"/>
  <c r="F351" i="1" s="1"/>
  <c r="F347" i="1"/>
  <c r="F337" i="1" s="1"/>
  <c r="F146" i="1"/>
  <c r="F139" i="1"/>
  <c r="F138" i="1" s="1"/>
  <c r="F137" i="1" s="1"/>
  <c r="F136" i="1" s="1"/>
  <c r="F299" i="1"/>
  <c r="F298" i="1" s="1"/>
  <c r="F297" i="1" s="1"/>
  <c r="F296" i="1" s="1"/>
  <c r="F128" i="1"/>
  <c r="F127" i="1" s="1"/>
  <c r="F126" i="1" s="1"/>
  <c r="F125" i="1" s="1"/>
  <c r="F116" i="1"/>
  <c r="F115" i="1" s="1"/>
  <c r="F114" i="1" s="1"/>
  <c r="F51" i="1"/>
  <c r="F100" i="1"/>
  <c r="F99" i="1" s="1"/>
  <c r="F98" i="1" s="1"/>
  <c r="F97" i="1" s="1"/>
  <c r="F86" i="1"/>
  <c r="F85" i="1" s="1"/>
  <c r="F84" i="1" s="1"/>
  <c r="F46" i="1"/>
  <c r="F45" i="1" s="1"/>
  <c r="F44" i="1" s="1"/>
  <c r="F43" i="1" s="1"/>
  <c r="F34" i="1"/>
  <c r="F33" i="1" s="1"/>
  <c r="F32" i="1" s="1"/>
  <c r="F31" i="1" s="1"/>
  <c r="F39" i="1"/>
  <c r="F38" i="1" s="1"/>
  <c r="F37" i="1" s="1"/>
  <c r="F36" i="1" s="1"/>
  <c r="F484" i="1" l="1"/>
  <c r="F483" i="1" s="1"/>
  <c r="F533" i="1"/>
  <c r="F317" i="1"/>
  <c r="F316" i="1" s="1"/>
  <c r="F315" i="1" s="1"/>
  <c r="F286" i="1"/>
  <c r="F285" i="1" s="1"/>
  <c r="F284" i="1" s="1"/>
  <c r="F25" i="1"/>
  <c r="F532" i="1" l="1"/>
  <c r="F523" i="1" s="1"/>
  <c r="F859" i="1"/>
  <c r="F583" i="1"/>
  <c r="F582" i="1" s="1"/>
  <c r="F581" i="1" s="1"/>
  <c r="F564" i="1" s="1"/>
  <c r="F556" i="1" s="1"/>
  <c r="F460" i="1"/>
  <c r="F142" i="1"/>
  <c r="F856" i="1" l="1"/>
  <c r="F855" i="1" s="1"/>
  <c r="F854" i="1" s="1"/>
  <c r="F853" i="1" s="1"/>
  <c r="F823" i="1"/>
  <c r="F822" i="1" s="1"/>
  <c r="F55" i="1"/>
  <c r="F510" i="1"/>
  <c r="F509" i="1" s="1"/>
  <c r="F508" i="1" s="1"/>
  <c r="F507" i="1" s="1"/>
  <c r="F501" i="1" s="1"/>
  <c r="F50" i="1" l="1"/>
  <c r="F30" i="1" s="1"/>
  <c r="F326" i="1"/>
  <c r="F305" i="1"/>
  <c r="F154" i="1"/>
  <c r="F151" i="1"/>
  <c r="F148" i="1"/>
  <c r="F304" i="1" l="1"/>
  <c r="F303" i="1" s="1"/>
  <c r="F302" i="1" s="1"/>
  <c r="F325" i="1"/>
  <c r="F324" i="1" s="1"/>
  <c r="F201" i="1"/>
  <c r="F176" i="1" s="1"/>
  <c r="F110" i="1"/>
  <c r="F323" i="1" l="1"/>
  <c r="F322" i="1" s="1"/>
  <c r="F500" i="1"/>
  <c r="F109" i="1"/>
  <c r="F108" i="1" s="1"/>
  <c r="F821" i="1" l="1"/>
  <c r="F917" i="1" l="1"/>
  <c r="F476" i="1"/>
  <c r="F914" i="1"/>
  <c r="F913" i="1" s="1"/>
  <c r="F454" i="1"/>
  <c r="F159" i="1"/>
  <c r="F24" i="1"/>
  <c r="F22" i="1"/>
  <c r="F21" i="1" s="1"/>
  <c r="F20" i="1" s="1"/>
  <c r="F405" i="1"/>
  <c r="F404" i="1" s="1"/>
  <c r="F391" i="1" s="1"/>
  <c r="F837" i="1"/>
  <c r="F157" i="1"/>
  <c r="F122" i="1"/>
  <c r="F121" i="1" s="1"/>
  <c r="F120" i="1" s="1"/>
  <c r="F458" i="1"/>
  <c r="F750" i="1"/>
  <c r="F141" i="1" l="1"/>
  <c r="F124" i="1" s="1"/>
  <c r="F19" i="1" s="1"/>
  <c r="F453" i="1"/>
  <c r="F444" i="1" s="1"/>
  <c r="F910" i="1"/>
  <c r="F912" i="1"/>
  <c r="F911" i="1" s="1"/>
  <c r="F836" i="1"/>
  <c r="F835" i="1" s="1"/>
  <c r="F864" i="1"/>
  <c r="F430" i="1" l="1"/>
  <c r="F390" i="1" s="1"/>
  <c r="F834" i="1"/>
  <c r="F924" i="1" l="1"/>
</calcChain>
</file>

<file path=xl/sharedStrings.xml><?xml version="1.0" encoding="utf-8"?>
<sst xmlns="http://schemas.openxmlformats.org/spreadsheetml/2006/main" count="3834" uniqueCount="768">
  <si>
    <t>Наименование</t>
  </si>
  <si>
    <t>Рз</t>
  </si>
  <si>
    <t>ПР</t>
  </si>
  <si>
    <t>ЦСР</t>
  </si>
  <si>
    <t>ВР</t>
  </si>
  <si>
    <t xml:space="preserve">Сумма </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</si>
  <si>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</si>
  <si>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</si>
  <si>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</si>
  <si>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</si>
  <si>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Глава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</si>
  <si>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</si>
  <si>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</si>
  <si>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Центральный аппарат</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</si>
  <si>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</si>
  <si>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</si>
  <si>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финансовых, налоговых и таможенных органов и органов финансового (финансово-бюджетного) надзора</t>
  </si>
  <si>
    <t>06</t>
  </si>
  <si>
    <t>Обеспечение проведения выборов и референдумов</t>
  </si>
  <si>
    <t>07</t>
  </si>
  <si>
    <t>Обслуживание государственного и муниципального долга</t>
  </si>
  <si>
    <t>11</t>
  </si>
  <si>
    <t>Процентные платежи по долговым обязательствам</t>
  </si>
  <si>
    <t>Процентные платежи по муниципальному долгу</t>
  </si>
  <si>
    <t>Другие общегосударственные вопросы</t>
  </si>
  <si>
    <t>Обеспечение деятельности подведомственных учреждений</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</si>
  <si>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</si>
  <si>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</si>
  <si>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</si>
  <si>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Поисковые и аварийно-спасательные учреждения</t>
  </si>
  <si>
    <t>Национальная экономика</t>
  </si>
  <si>
    <t>Транспорт</t>
  </si>
  <si>
    <t>08</t>
  </si>
  <si>
    <t>Жилищно-коммунальное хозяйство</t>
  </si>
  <si>
    <t>05</t>
  </si>
  <si>
    <t>Жилищное хозяйство</t>
  </si>
  <si>
    <t>Благоустройство</t>
  </si>
  <si>
    <t>Образование</t>
  </si>
  <si>
    <t>Дошкольное образование</t>
  </si>
  <si>
    <t>Общее образование</t>
  </si>
  <si>
    <t>Другие вопросы в области образования</t>
  </si>
  <si>
    <t>Культура</t>
  </si>
  <si>
    <t>Комплектование книжных фондов библиотек муниципальных образований</t>
  </si>
  <si>
    <t xml:space="preserve">Физическая культура и спорт </t>
  </si>
  <si>
    <t>10</t>
  </si>
  <si>
    <t>Социальная политика</t>
  </si>
  <si>
    <t>Социальное обеспечение населения</t>
  </si>
  <si>
    <t>Всего расходов</t>
  </si>
  <si>
    <t xml:space="preserve">Распределение бюджетных ассигнований  бюджета </t>
  </si>
  <si>
    <t>Другие вопросы в области культуры, кинематографии</t>
  </si>
  <si>
    <t>Физическая культура</t>
  </si>
  <si>
    <t>Массовый спорт</t>
  </si>
  <si>
    <t>13</t>
  </si>
  <si>
    <t xml:space="preserve">Культура и кинематография </t>
  </si>
  <si>
    <t>Обслуживание  государственного внутреннего и муниципального долга</t>
  </si>
  <si>
    <t>Пенсионное обеспечение</t>
  </si>
  <si>
    <t>Доплаты к пенсиям государственных служащих субъектов Российской Федерации и муниципальных служащих</t>
  </si>
  <si>
    <t>14</t>
  </si>
  <si>
    <t>Резервные фонды</t>
  </si>
  <si>
    <t>Резервные фонды местных администраций</t>
  </si>
  <si>
    <t xml:space="preserve">Реализация государственных полномочий по образованию и организации деятельности административных комиссий </t>
  </si>
  <si>
    <t>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(или) иных объектов недвижимости</t>
  </si>
  <si>
    <t>Реализация государственных полномочий в области архивного дела</t>
  </si>
  <si>
    <t>Реализация государственных полномочий по определению перечня  должностных лиц, уполномоченных составлять протоколы об административных правонарушениях</t>
  </si>
  <si>
    <t>Реализация государственных полномочий в области государственной молодежной политики</t>
  </si>
  <si>
    <t>Реализация государственных полномочий в области образования</t>
  </si>
  <si>
    <t>Реализация государственных полномочий по образованию и организации деятельности комиссий по делам несовершеннолетних и защите их прав</t>
  </si>
  <si>
    <t xml:space="preserve">        Казанской городской Думы</t>
  </si>
  <si>
    <t xml:space="preserve">        к решению</t>
  </si>
  <si>
    <t>(тыс. руб.)</t>
  </si>
  <si>
    <t>Охрана окружающей среды</t>
  </si>
  <si>
    <t>Охрана объектов растительного и животного мира и среды их обитания</t>
  </si>
  <si>
    <t xml:space="preserve">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(городских округов) </t>
  </si>
  <si>
    <t>Прочие межбюджетные трансферты общего характера</t>
  </si>
  <si>
    <t>Уплата налога на имущество организаций и земельного налога</t>
  </si>
  <si>
    <t>Здравоохранение</t>
  </si>
  <si>
    <t>Санитарно-эпидемическое благополучие</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</si>
  <si>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</si>
  <si>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Реализация государственных функций, связанных с общегосударственным управлением</t>
  </si>
  <si>
    <t>Охрана семьи и детства</t>
  </si>
  <si>
    <t>100</t>
  </si>
  <si>
    <t>200</t>
  </si>
  <si>
    <t>800</t>
  </si>
  <si>
    <t>Закупка товаров, работ и услуг для государственных (муниципальных) нужд</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</si>
  <si>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</si>
  <si>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600</t>
  </si>
  <si>
    <t>Иные бюджетные ассигнования</t>
  </si>
  <si>
    <t>Сельское хозяйство и рыболовство</t>
  </si>
  <si>
    <t>Предоставление субсидий бюджетным, автономным учреждениям, иным некоммерческим организациям</t>
  </si>
  <si>
    <t>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</si>
  <si>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300</t>
  </si>
  <si>
    <t>Социальное обеспечение и иные выплаты населению</t>
  </si>
  <si>
    <t>700</t>
  </si>
  <si>
    <t>Обслуживание государственного (муниципального) долга</t>
  </si>
  <si>
    <t>группам видов расходов классификации расходов бюджетов</t>
  </si>
  <si>
    <t>Непрограммные направления расходов</t>
  </si>
  <si>
    <t>Государственная программа «Социальная поддержка граждан Республики Татарстан» на 2014 – 2020 годы</t>
  </si>
  <si>
    <t>Подпрограмма «Развитие автомобильного, городского электрического транспорта, в том числе метро, на 2014 – 2020 годы»</t>
  </si>
  <si>
    <t>Обеспечение равной доступности услуг общественного транспорта</t>
  </si>
  <si>
    <t>Государственная программа «Развитие здравоохранения Республики Татарстан до 2020 года»</t>
  </si>
  <si>
    <t>Подпрограмма «Профилактика заболеваний и формирование здорового образа жизни.  Развитие первичной медико-санитарной помощи»</t>
  </si>
  <si>
    <t>Дорожное хозяйство</t>
  </si>
  <si>
    <t>99 0 00 0000 0</t>
  </si>
  <si>
    <t>99 0 00 0204 0</t>
  </si>
  <si>
    <t>99 0 00 2524 0</t>
  </si>
  <si>
    <t>99 0 00 0295 0</t>
  </si>
  <si>
    <t>03 0 00 0000 0</t>
  </si>
  <si>
    <t>03 5 00 0000 0</t>
  </si>
  <si>
    <t>Подпрограмма «Улучшение социально-экономического положения семей» на 2015 – 2020 годы</t>
  </si>
  <si>
    <t>Основное мероприятие «Создание благоприятных условий для устройства детей-сирот и детей, оставшихся без попечения родителей, на воспитание в семью»</t>
  </si>
  <si>
    <t>03 5 03 0000 0</t>
  </si>
  <si>
    <t>Реализация государственных полномочий в области опеки и попечительства</t>
  </si>
  <si>
    <t>03 5 03 2533 0</t>
  </si>
  <si>
    <t>99 0 92 0000 0</t>
  </si>
  <si>
    <t>99 0 92 0314 0</t>
  </si>
  <si>
    <t>99 0 00 2534 0</t>
  </si>
  <si>
    <t>99 0 00 2526 0</t>
  </si>
  <si>
    <t>99 0 00 2527 0</t>
  </si>
  <si>
    <t>99 0 00 2532 0</t>
  </si>
  <si>
    <t>99 0 00 2535 0</t>
  </si>
  <si>
    <t>Государственная программа «Система химической и биологической безопасности Республики Татарстан на 2015 – 2020 годы»</t>
  </si>
  <si>
    <t>28 0 00 0000 0</t>
  </si>
  <si>
    <t>Основное мероприятие «Предупреждение болезней животных и защита населения от болезней общих для человека и животных»</t>
  </si>
  <si>
    <t>Государственная программа «Развитие транспортной системы Республики Татарстан на 2014 – 2022 годы»</t>
  </si>
  <si>
    <t>13 0 00 0000 0</t>
  </si>
  <si>
    <t>13 4 00 0000 0</t>
  </si>
  <si>
    <t>01 0 00 0000 0</t>
  </si>
  <si>
    <t>01 1 00 0000 0</t>
  </si>
  <si>
    <t>99 0 65 0000 0</t>
  </si>
  <si>
    <t>99 0 65 0300 0</t>
  </si>
  <si>
    <t>02 0 00 0000 0</t>
  </si>
  <si>
    <t>02 2 00 0000 0</t>
  </si>
  <si>
    <t>Основное мероприятие «Обеспечение государственных гарантий реализации прав на получение общедоступного и бесплатного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</si>
  <si>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02 2 08 0000 0</t>
  </si>
  <si>
    <t>02 2 08 2530 2</t>
  </si>
  <si>
    <t>Подпрограмма "Другие вопросы в области образования"</t>
  </si>
  <si>
    <t>02 6 00 0000 0</t>
  </si>
  <si>
    <t>08 0 00 0000 0</t>
  </si>
  <si>
    <t>Подпрограмма "Другие вопросы в области культуры"</t>
  </si>
  <si>
    <t>08 8 00 0000 0</t>
  </si>
  <si>
    <t>08 8 01 0000 0</t>
  </si>
  <si>
    <t>08 8 01 0204 0</t>
  </si>
  <si>
    <t>02 6 01 0000 0</t>
  </si>
  <si>
    <t>02 6 01 0204 0</t>
  </si>
  <si>
    <t>Подпрограмма "Другие вопросы в области молодежной политики"</t>
  </si>
  <si>
    <t>Подпрограмма "Другие вопросы в области физической культуры и спорта"</t>
  </si>
  <si>
    <t>08 8 01 0295 0</t>
  </si>
  <si>
    <t>Другие вопросы в области национальной безопасности и правоохранительной деятельности</t>
  </si>
  <si>
    <t>28 0 01 0000 0</t>
  </si>
  <si>
    <t>28 0 01 2536 0</t>
  </si>
  <si>
    <t>Отдельные мероприятия в области других видов транспорта</t>
  </si>
  <si>
    <t>Муниципальная программа "Развитие и повышение уровня благоустройства территории города Казани на 2016 - 2018 годы"</t>
  </si>
  <si>
    <t>Б1 0 00 0000 0</t>
  </si>
  <si>
    <t>Государственная программа «Обеспечение качественным жильем и услугами жилищно-коммунального хозяйства населения Республики Татарстан на 2014 – 2020 годы»</t>
  </si>
  <si>
    <t>04 0 00 0000 0</t>
  </si>
  <si>
    <t>Подпрограмма «Реализация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 в 2014 – 2020 годах»</t>
  </si>
  <si>
    <t>04 5 00 0000 0</t>
  </si>
  <si>
    <t>04 5 01 9601 0</t>
  </si>
  <si>
    <t>Б1 0 ТС 0000 0</t>
  </si>
  <si>
    <t>02 1 00 0000 0</t>
  </si>
  <si>
    <t>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</si>
  <si>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02 1 01 0000 0</t>
  </si>
  <si>
    <t>02 1 01 2537 0</t>
  </si>
  <si>
    <t xml:space="preserve">Подпрограмма «Развитие дошкольного образования, включая инклюзивное, и повышение квалификации работников данной сферы" </t>
  </si>
  <si>
    <t>Основное мероприятие "Реализация дошкольного образования"</t>
  </si>
  <si>
    <t>02 1 03 0000 0</t>
  </si>
  <si>
    <t>02 1 03 4200 0</t>
  </si>
  <si>
    <t>Подпрограмма «Развитие начального общего образования, основного общего и среднего общего образования</t>
  </si>
  <si>
    <t>02 2 02 0000 0</t>
  </si>
  <si>
    <t>02 2 02 4210 0</t>
  </si>
  <si>
    <t>02 2 02 4220 0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</si>
  <si>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</si>
  <si>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02 3 00 0000 0</t>
  </si>
  <si>
    <t>02 3 01 0000 0</t>
  </si>
  <si>
    <t>02 3 01 4231 0</t>
  </si>
  <si>
    <t>02 3 01 4232 0</t>
  </si>
  <si>
    <t>08 7 00 0000 0</t>
  </si>
  <si>
    <t>08 7 01 0000 0</t>
  </si>
  <si>
    <t>08 7 01 4232 0</t>
  </si>
  <si>
    <t>08 7 02 0000 0</t>
  </si>
  <si>
    <t>08 7 02 4232 0</t>
  </si>
  <si>
    <t>08 7 03 0000 0</t>
  </si>
  <si>
    <t>08 7 03 9990 0</t>
  </si>
  <si>
    <t>Обеспечение содержания муниципального имущества в надлежащем состоянии, проведение работ по устранению аварийных ситуаций, предписаний надзорных органов в рамках целевой субсидии</t>
  </si>
  <si>
    <t>08 8 02 0000 0</t>
  </si>
  <si>
    <t>Основное мероприятие "Организация предоставления дополнительного образования"</t>
  </si>
  <si>
    <t>Основное мероприятие "Сохранение, поддержка и развитие детских сводных творческих коллективов"</t>
  </si>
  <si>
    <t xml:space="preserve">Обеспечение деятельности детских сводных творческих коллективов </t>
  </si>
  <si>
    <t>Основное мероприятие "Развитие и укрепление материально-технической базы"</t>
  </si>
  <si>
    <t>Поддержка творческих коллективов детских художественных и музыкальных школ</t>
  </si>
  <si>
    <t>08 8 02 4239 0</t>
  </si>
  <si>
    <t>Подпрограмма "Совершенствование детско-юношеского спорта в г.Казани"</t>
  </si>
  <si>
    <t>Обеспечение текущей деятельности учреждений дополнительного образования спортивной направленности (ДЮСШ), реализующих дополнительные образовательные программы в рамках муниципального задания</t>
  </si>
  <si>
    <t>02 2 08 2528 0</t>
  </si>
  <si>
    <t>Молодежная политика</t>
  </si>
  <si>
    <t>Подпрограмма "Совершенствование деятельности сети учреждений молодежной политики"</t>
  </si>
  <si>
    <t>Основное мероприятие "Развитие учреждений молодежной политики"</t>
  </si>
  <si>
    <t>Обеспечение текущей деятельности учреждений молодежной политики в рамках муниципального задания</t>
  </si>
  <si>
    <t>Подпрограмма "Организация и проведение мероприятий для детей и молодежи"</t>
  </si>
  <si>
    <t>Основное мероприятие "Организация и проведение мероприятий для детей и молодежи"</t>
  </si>
  <si>
    <t>Организация и проведение мероприятий для детей и молодежи</t>
  </si>
  <si>
    <t>02 2 02 4360 0</t>
  </si>
  <si>
    <t>02 2 02 4520 0</t>
  </si>
  <si>
    <t>02 2 08 2530 1</t>
  </si>
  <si>
    <t>02 6 01 4520 0</t>
  </si>
  <si>
    <t>02 6 02 0000 0</t>
  </si>
  <si>
    <t>02 6 02 4360 0</t>
  </si>
  <si>
    <t>02 6 03 0000 0</t>
  </si>
  <si>
    <t>02 6 03 9990 0</t>
  </si>
  <si>
    <t>99 0 00 2230 0</t>
  </si>
  <si>
    <t>99 0 00 4350 0</t>
  </si>
  <si>
    <t>Г1 0 00 0000 0</t>
  </si>
  <si>
    <t>Организация транспортных услуг по перевозке школьников</t>
  </si>
  <si>
    <t>Организация государственных полномочий в области информационно-методического обеспечения</t>
  </si>
  <si>
    <t>Централизованная бухгалтерия, хозяйственно-эксплуатационная группа</t>
  </si>
  <si>
    <t>Мероприятия, направленные на развитие образования, общегородские мероприятия</t>
  </si>
  <si>
    <t>Основное мероприятие "Развитие системы муниципального управления в области физической культуры и спорта"</t>
  </si>
  <si>
    <t>Централизованная бухгалтерия</t>
  </si>
  <si>
    <t>08 1 00 0000 0</t>
  </si>
  <si>
    <t>08 1 01 0000 0</t>
  </si>
  <si>
    <t>08 1 01 4419 0</t>
  </si>
  <si>
    <t>08 3 00 0000 0</t>
  </si>
  <si>
    <t>08 3 01 0000 0</t>
  </si>
  <si>
    <t>08 3 01 4429 0</t>
  </si>
  <si>
    <t>08 3 01 4401 0</t>
  </si>
  <si>
    <t>08 4 00 0000 0</t>
  </si>
  <si>
    <t>08 4 01 0000 0</t>
  </si>
  <si>
    <t>08 4 01 4409 0</t>
  </si>
  <si>
    <t>08 8 03 0000 0</t>
  </si>
  <si>
    <t>08 8 03 4400 1</t>
  </si>
  <si>
    <t>08 8 04 0000 0</t>
  </si>
  <si>
    <t>08 8 04 9990 0</t>
  </si>
  <si>
    <t>08 8 02 4400 5</t>
  </si>
  <si>
    <t>Подпрограмма "Развитие музейного дела"</t>
  </si>
  <si>
    <t>Основное мероприятие "Развитие музеев"</t>
  </si>
  <si>
    <t>Подпрограмма "Развитие библиотечного дела"</t>
  </si>
  <si>
    <t>Основное мероприятие "Развитие библиотек"</t>
  </si>
  <si>
    <t>Обеспечение текущей деятельности библиотек в рамках муниципального задания</t>
  </si>
  <si>
    <t>Подпрограмма "Развитие культурно-досуговых учреждений и концертных организаций"</t>
  </si>
  <si>
    <t>Основное мероприятие "Развитие культурно-досуговых учреждений"</t>
  </si>
  <si>
    <t>Обеспечение текущей деятельности клубов и культурно-досуговых центров в рамках муниципального задания</t>
  </si>
  <si>
    <t>08 4 02 0000 0</t>
  </si>
  <si>
    <t>Основное мероприятие "Развитие концертных организаций"</t>
  </si>
  <si>
    <t>Обеспечение текущей деятельности концертных организаций в рамках муниципального задания</t>
  </si>
  <si>
    <t>Основное мероприятие "Софинансирование муниципальных творческих коллективов - получателей грантов Правительства Республики Татарстан"</t>
  </si>
  <si>
    <t>Поддержка творческих коллективов муниципальных учреждений культуры</t>
  </si>
  <si>
    <t>Основное мероприятие "Культурные мероприятия как ресурс развития города Казани"</t>
  </si>
  <si>
    <t>Организация и проведение мероприятий в области культуры</t>
  </si>
  <si>
    <t>Основное мероприятие "Развитие и укрепление материально-технической базы учреждений культуры"</t>
  </si>
  <si>
    <t>08 4 02 4439 0</t>
  </si>
  <si>
    <t>08 8 01 4520 0</t>
  </si>
  <si>
    <t>Основное мероприятие "Развитие системы муниципального управления в области культуры"</t>
  </si>
  <si>
    <t>01 1 02 0000 0</t>
  </si>
  <si>
    <t>01 1 02 0211 0</t>
  </si>
  <si>
    <t>Основное мероприятие «Профилактика инфекционных заболеваний, включая иммунопрофилактику»</t>
  </si>
  <si>
    <t>99 0 00 4910 0</t>
  </si>
  <si>
    <t>Обеспечение горячим питанием отдельных категорий учащихся общеобразовательных школ</t>
  </si>
  <si>
    <t>99 0 00 1287 0</t>
  </si>
  <si>
    <t>Подпрограмма "Развитие массовой физической культуры и спорта в г.Казани"</t>
  </si>
  <si>
    <t>Основное мероприятие "Развитие учреждений спортивной направленности"</t>
  </si>
  <si>
    <t>Обеспечение текущей деятельности подведомственных учреждений спортивной направленности в рамках муниципального задания</t>
  </si>
  <si>
    <t>Основное мероприятие "Физкультурно-оздоровительная работа и спортивные мероприятия"</t>
  </si>
  <si>
    <t>Организация и проведение мероприятий физической культуры и спорта в области массового спорта</t>
  </si>
  <si>
    <t>Муниципальная программа "Укрепление гражданского согласия в г.Казани на 2014 - 2018 годы"</t>
  </si>
  <si>
    <t>Обеспечение текущей деятельности музеев в рамках муниципального задания</t>
  </si>
  <si>
    <t>Подпрограмма "Развитие системы воспитания, дополнительного образования"</t>
  </si>
  <si>
    <t>Обеспечение текущей деятельности учреждений дошкольного образования в рамках муниципального задания</t>
  </si>
  <si>
    <t>Основное мероприятие "Реализация общего образования"</t>
  </si>
  <si>
    <t>Обеспечение текущей деятельности общеобразовательных учреждений в рамках муниципального задания</t>
  </si>
  <si>
    <t>Обеспечение текущей деятельности учреждений дополнительного образования многопрофильной направленности в рамках муниципального задания</t>
  </si>
  <si>
    <t>Обеспечение текущей деятельности учреждений дополнительного образования художественно-эстетической направленности в рамках муниципального задания</t>
  </si>
  <si>
    <t>Обеспечение текущей деятельности общеобразовательных учреждений, имеющих межшкольный учебный комбинат, в рамках муниципального задания</t>
  </si>
  <si>
    <t>Основное мероприятие "Развитие системы муниципального управления в области образования"</t>
  </si>
  <si>
    <t>Основное мероприятие "Проведение общегородских мероприятий в области образования"</t>
  </si>
  <si>
    <t>Основное мероприятие "Развитие и укрепление материально-технической базы учреждений образования"</t>
  </si>
  <si>
    <t>Обеспечение текущей деятельности прочих учреждений образования в рамках муниципального задания</t>
  </si>
  <si>
    <t>МО 0 00 0000 0</t>
  </si>
  <si>
    <t>МО 3 00 0000 0</t>
  </si>
  <si>
    <t>МО 3 01 0000 0</t>
  </si>
  <si>
    <t>МО 3 01 0204 0</t>
  </si>
  <si>
    <t>ФО 0 00 0000 0</t>
  </si>
  <si>
    <t>ФО 3 00 0000 0</t>
  </si>
  <si>
    <t>ФО 3 01 0000 0</t>
  </si>
  <si>
    <t>ФО 3 01 0204 0</t>
  </si>
  <si>
    <t>99 0 00 0741 1</t>
  </si>
  <si>
    <t>МО 3 01 0295 0</t>
  </si>
  <si>
    <t>ФО 3 01 0295 0</t>
  </si>
  <si>
    <t>ФО 1 00 0000 0</t>
  </si>
  <si>
    <t>ФО 1 01 0000 0</t>
  </si>
  <si>
    <t>ФО 1 01 4233 0</t>
  </si>
  <si>
    <t>ФО 1 02 0000 0</t>
  </si>
  <si>
    <t>ФО 1 02 9990 0</t>
  </si>
  <si>
    <t>Обеспечение содержания муниципального имущества учреждений в надлежащем состоянии, устранение предписаний надзорных органов в рамках целевой субсидии</t>
  </si>
  <si>
    <t>МО 1 00 0000 0</t>
  </si>
  <si>
    <t>МО 1 01 0000 0</t>
  </si>
  <si>
    <t>МО 1 01 4319 0</t>
  </si>
  <si>
    <t>МО 1 02 0000 0</t>
  </si>
  <si>
    <t>МО 1 02 9990 0</t>
  </si>
  <si>
    <t>МО 2 00 0000 0</t>
  </si>
  <si>
    <t>МО 2 01 0000 0</t>
  </si>
  <si>
    <t>МО 2 01 4310 0</t>
  </si>
  <si>
    <t>Основное мероприятие "Поддержка талантливой и инициативной молодежи"</t>
  </si>
  <si>
    <t>МО 2 02 0000 0</t>
  </si>
  <si>
    <t>Городские премии талантливой молодежи в различных отраслях науки</t>
  </si>
  <si>
    <t>МО 2 02 4310 0</t>
  </si>
  <si>
    <t>МО 2 03 0000 0</t>
  </si>
  <si>
    <t>МО 2 03 4310 0</t>
  </si>
  <si>
    <t>99 0 00 4310 0</t>
  </si>
  <si>
    <t>ФО 3 01 4520 0</t>
  </si>
  <si>
    <t>Премия талантливой молодежи в различных отраслях культуры и искусства</t>
  </si>
  <si>
    <t>08 8 03 4400 2</t>
  </si>
  <si>
    <t>ФО 2 00 0000 0</t>
  </si>
  <si>
    <t>ФО 2 01 0000 0</t>
  </si>
  <si>
    <t>ФО 2 01 4820 0</t>
  </si>
  <si>
    <t>ФО 2 02 0000 0</t>
  </si>
  <si>
    <t>ФО 2 02 9990 0</t>
  </si>
  <si>
    <t>ФО 2 03 0000 0</t>
  </si>
  <si>
    <t>ФО 2 03 1287 0</t>
  </si>
  <si>
    <t>Основное мероприятие "Проведение районных мероприятий физической культуры и спорта"</t>
  </si>
  <si>
    <t>ФО 2 04 0000 0</t>
  </si>
  <si>
    <t>Проведение районных мероприятий физической культуры и спорта в области массового спорта</t>
  </si>
  <si>
    <t>ФО 2 04 1287 0</t>
  </si>
  <si>
    <t>Обеспечение текущей деятельности общеобразовательных учреждений, имеющих интернат, в рамках муниципального задания</t>
  </si>
  <si>
    <t>99 0 00 0203 0</t>
  </si>
  <si>
    <t>04 5 01 0000 0</t>
  </si>
  <si>
    <t>Основное мероприятие "Организация своевременного проведения капитального ремонта общего имущества в многоквартирных домах"</t>
  </si>
  <si>
    <t>Основное мероприятие "Развитие системы муниципального управления в области физкультуры и спорта"</t>
  </si>
  <si>
    <t>Основное мероприятие "Развитие системы муниципального управления в области молодежной политики"</t>
  </si>
  <si>
    <t>99 0 00 9299 0</t>
  </si>
  <si>
    <t>Муниципальная программа "Развитие жилищно-коммунального хозяйства города Казани на 2016 - 2018 годы"</t>
  </si>
  <si>
    <t>Ж1 0 00 0000 0</t>
  </si>
  <si>
    <t>Ж1 0 ТС 0000 0</t>
  </si>
  <si>
    <t>Обеспечение хранения, учета, комплектования и использования документов архивного фонда и других архивных документов</t>
  </si>
  <si>
    <t>Б1 0 ТС 7802 0</t>
  </si>
  <si>
    <t>Основное мероприятие "Капитальный ремонт объектов жилищно-коммунального хозяйства"</t>
  </si>
  <si>
    <t>Ж1 0 КР 0000 0</t>
  </si>
  <si>
    <t>Ж1 0 КР 7603 0</t>
  </si>
  <si>
    <t>Основное мероприятие "Текущее содержание объектов жилищно-коммунального хозяйства"</t>
  </si>
  <si>
    <t>Мероприятия в области жилищного хозяйства (инвентаризация муниципального жилищного фонда)</t>
  </si>
  <si>
    <t>Ж1 0 ТС 7604 0</t>
  </si>
  <si>
    <t>Основное мероприятие "Текущее содержание и ремонт объектов внешнего благоустройства"</t>
  </si>
  <si>
    <t>Уличное освещение</t>
  </si>
  <si>
    <t>Б1 0 ТС 7801 0</t>
  </si>
  <si>
    <t>Озеленение</t>
  </si>
  <si>
    <t>Б1 0 ТС 7803 0</t>
  </si>
  <si>
    <t>Содержание кладбищ</t>
  </si>
  <si>
    <t>Б1 0 ТС 7804 0</t>
  </si>
  <si>
    <t>Прочие мероприятия по благоустройству городских округов и поселений</t>
  </si>
  <si>
    <t>Б1 0 ТС 7805 0</t>
  </si>
  <si>
    <t>Основное мероприятие "Создание устойчиво функционирующей и доступной для всех слоев населения единой системы общественного транспорта"</t>
  </si>
  <si>
    <t>13 4 01 0000 0</t>
  </si>
  <si>
    <t>13 4 01 0537 0</t>
  </si>
  <si>
    <t>Подпрограмма «Развитие начального общего образования, основного общего и среднего общего образования"</t>
  </si>
  <si>
    <t>99 0 30 0000 0</t>
  </si>
  <si>
    <t>99 0 30 2990 0</t>
  </si>
  <si>
    <t>Основное мероприятие "Текущее содержание центрального аппарата"</t>
  </si>
  <si>
    <t>Ж1 0 СА 0000 0</t>
  </si>
  <si>
    <t>Ж1 0 СА 0204 0</t>
  </si>
  <si>
    <t>Б1 0 СА 0000 0</t>
  </si>
  <si>
    <t>Б1 0 СА 0204 0</t>
  </si>
  <si>
    <t>Б1 0 СА 0295 0</t>
  </si>
  <si>
    <t>Содержание МКУ "Хозяйственно-транспортное управление города Казани"</t>
  </si>
  <si>
    <t>Обеспечение мероприятий по капитальному ремонту многоквартирных домов, включенных в состав Республиканской программы проведения капитального ремонта многоквартирных домов</t>
  </si>
  <si>
    <t>99 0 92 0324 0</t>
  </si>
  <si>
    <t>Капитальный ремонт жилищного фонда, не включенный в состав республиканской программы по капитальному ремонту многоквартирных домов</t>
  </si>
  <si>
    <t>Строительство, содержание и ремонт автомобильных дорог и инженерных сооружений на них в границах городских округов и поселений в рамках благоустройства</t>
  </si>
  <si>
    <t>Основное мероприятие "Текущее содержание и ремонт объектов внешнего  благоустройства"</t>
  </si>
  <si>
    <t>Г2 0 00 0000 0</t>
  </si>
  <si>
    <t>Основное мероприятие "Реализация государственных функций, связанных с общегосударственным управлением"</t>
  </si>
  <si>
    <t>Г2 0 92 0000 0</t>
  </si>
  <si>
    <t>Диспансеризация лиц, замещающих муниципальные должности, муниципальных служащих, лиц, замещающих должности, не относящиеся к должностям муниципальной службы</t>
  </si>
  <si>
    <t>Г2 0 92 0316 0</t>
  </si>
  <si>
    <t>Ж1 0 СА 0295 0</t>
  </si>
  <si>
    <t>99 0 92 0327 0</t>
  </si>
  <si>
    <t>Содержание МКУ "Организатор пассажирских перевозок"</t>
  </si>
  <si>
    <t>Содержание МКУ "Организатор городского парковочного пространства"</t>
  </si>
  <si>
    <t>99 0 92 0328 0</t>
  </si>
  <si>
    <t>99 0 92 0329 0</t>
  </si>
  <si>
    <t>Таблица 1</t>
  </si>
  <si>
    <t>Муниципальная программа "Осуществление контроля над выполнением требований нормативных правовых актов, государственных градостроительных нормативов и правил в области градостроительной деятельности на территории города Казани на 2016 - 2018 годы"</t>
  </si>
  <si>
    <t>К2 0 00 0000 0</t>
  </si>
  <si>
    <t>К2 0 СА 0000 0</t>
  </si>
  <si>
    <t>К2 0 СА 0204 0</t>
  </si>
  <si>
    <t xml:space="preserve">Уплата налога на имущество муниципальных учреждений </t>
  </si>
  <si>
    <t>Муниципальная программа «Осуществление муниципального контроля в сфере благоустройства на территории города Казани на 2016 - 2018 годы»</t>
  </si>
  <si>
    <t>К1 0 00 0000 0</t>
  </si>
  <si>
    <t>К1 0 СА 0000 0</t>
  </si>
  <si>
    <t>К1 0 СА 0295 0</t>
  </si>
  <si>
    <t>Содержание МКУ "Управление административно-технической инспекции ИК МО г.Казани"</t>
  </si>
  <si>
    <t>К1 0 СА 0308 0</t>
  </si>
  <si>
    <t>К2 0 СА 0295 0</t>
  </si>
  <si>
    <t>Водное хозяйство</t>
  </si>
  <si>
    <t>Содержание и ремонт гидротехнических сооружений</t>
  </si>
  <si>
    <t>99 0 00 9043 0</t>
  </si>
  <si>
    <t>Коммунальное хозяйство</t>
  </si>
  <si>
    <t>Мероприятия в области коммунального хозяйства</t>
  </si>
  <si>
    <t>Ж1 0 ТС 7607 0</t>
  </si>
  <si>
    <t>Сбор, удаление отходов и очистка сточных вод</t>
  </si>
  <si>
    <t>99 0 00 2086 0</t>
  </si>
  <si>
    <t>Межбюджетные трансферты</t>
  </si>
  <si>
    <t>Резерв на повышение тарифов по коммунальным услугам</t>
  </si>
  <si>
    <t xml:space="preserve"> по разделам и подразделам, целевым статьям  (государственным программам </t>
  </si>
  <si>
    <t xml:space="preserve">Республики Татарстан,  муниципальным программам г.Казани </t>
  </si>
  <si>
    <t xml:space="preserve">и непрограммным направлениям деятельности) и </t>
  </si>
  <si>
    <t>Основное мероприятие "Проведение районных мероприятий для детей и молодежи"</t>
  </si>
  <si>
    <t>Проведение районных мероприятий для детей и молодежи</t>
  </si>
  <si>
    <t xml:space="preserve">Межбюджетные трансферты общего характера бюджетам субъектов Российской Федерации </t>
  </si>
  <si>
    <t>Дополнительное образование детей</t>
  </si>
  <si>
    <t>99 0 92 0310 0</t>
  </si>
  <si>
    <t>Г6 0 00 0000 0</t>
  </si>
  <si>
    <t>Муниципальная программа "Профилактика правонарушений и преступлений в г.Казани на 2016 - 2020 годы"</t>
  </si>
  <si>
    <t>Г6 0 92 0000 0</t>
  </si>
  <si>
    <t>Обеспечение деятельности МАУ "Центр помощи "Возрождение"</t>
  </si>
  <si>
    <t>Обеспечение деятельности руководителей и сотрудников опорных пунктов охраны правопорядка</t>
  </si>
  <si>
    <t>Г6 0 92 0323 0</t>
  </si>
  <si>
    <t>Основное мероприятие "Организация деятельности по профилактике правонарушений и преступлений в г.Казани на 2016 – 2020 годы"</t>
  </si>
  <si>
    <t xml:space="preserve">Государственная регистрация актов гражданского состояния </t>
  </si>
  <si>
    <t>99 0 00 5930 0</t>
  </si>
  <si>
    <t>99 0 00 0317 0</t>
  </si>
  <si>
    <t>Расходы, осуществляемые за счет средств муниципального дорожного фонда</t>
  </si>
  <si>
    <t>Д1 0 00 0000 0</t>
  </si>
  <si>
    <t xml:space="preserve">Строительство, реконструкция и ремонт (текущий и капитальный) автомобильных дорог </t>
  </si>
  <si>
    <t>Д1 0 00 0365 0</t>
  </si>
  <si>
    <t>Содержание парков и скверов</t>
  </si>
  <si>
    <t>Б1 0 ТС 7807 0</t>
  </si>
  <si>
    <t>Государственная программа "Охрана окружающей среды, воспроизводство и использование природных ресурсов Республики Татарстан на 2014 - 2020 годы"</t>
  </si>
  <si>
    <t>09 0 00 0000 0</t>
  </si>
  <si>
    <t>09 1 00 0000 0</t>
  </si>
  <si>
    <t>Подпрограмма "Регулирование качества окружающей среды Республики Татарстан на 2014 - 2020 годы"</t>
  </si>
  <si>
    <t>Основное мероприятие "Обеспечение охраны окружающей среды"</t>
  </si>
  <si>
    <t>09 1 01 0000 0</t>
  </si>
  <si>
    <t>Мероприятия по охране окружающей среды</t>
  </si>
  <si>
    <t>09 1 01 7446 0</t>
  </si>
  <si>
    <t>Основное мероприятие "Обеспечение необходимых условий для сохранения межконфессионального согласия и гражданского единства"</t>
  </si>
  <si>
    <t>Г1 0 01 0000 0</t>
  </si>
  <si>
    <t>Общегородские мероприятия в социально-культурной сфере</t>
  </si>
  <si>
    <t>Г1 0 01 4360 0</t>
  </si>
  <si>
    <t>Основное мероприятие "Обеспечение паритетного функционирования государственных языков Республики Татарстан в г.Казани"</t>
  </si>
  <si>
    <t>Г1 0 04 0000 0</t>
  </si>
  <si>
    <t>Г1 0 04 4360 0</t>
  </si>
  <si>
    <t>Основное мероприятие "Обеспечение необходимых условий для сохранения и развития языков, культур и традиций народов, проживающих в г.Казани"</t>
  </si>
  <si>
    <t>Г1 0 05 0000 0</t>
  </si>
  <si>
    <t>Г1 0 05 4360 0</t>
  </si>
  <si>
    <t>Государственная программа «Развитие образования и науки Республики Татарстан на 2014 – 2020 годы»</t>
  </si>
  <si>
    <t>Подпрограмма «Развитие общего образования, включая инклюзивное, и повышение квалификации работников данной сферы на 2014 – 2020 годы»</t>
  </si>
  <si>
    <t>Основное мероприятие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</si>
  <si>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99 0 00 4402 0</t>
  </si>
  <si>
    <t>Подпрограмма «Развитие дошкольного образования, включая инклюзивное, и повышение квалификации работников данной сферы на 2014 – 2020 годы»</t>
  </si>
  <si>
    <t>И1 0 00 0000 0</t>
  </si>
  <si>
    <t>И1 2 00 0000 0</t>
  </si>
  <si>
    <t>И1 2 01 0000 0</t>
  </si>
  <si>
    <t>И1 2 01 0204 0</t>
  </si>
  <si>
    <t>Муниципальная программа «Развитие информационных технологий и связи в городе Казани "Электронная Казань" на 2017-2019 годы»</t>
  </si>
  <si>
    <t>Подпрограмма «Развитие информационных и телекоммуникационных технологий в органах местного самоуправления г.Казани на 2017-2019 годы»</t>
  </si>
  <si>
    <t>99 0 92 0301 0</t>
  </si>
  <si>
    <t>99 0 92 0302 0</t>
  </si>
  <si>
    <t>99 0 92 0304 0</t>
  </si>
  <si>
    <t>99 0 92 0305 0</t>
  </si>
  <si>
    <t>99 0 92 0306 0</t>
  </si>
  <si>
    <t>Погашение задолженности по судебным искам</t>
  </si>
  <si>
    <t>Изготовление и вручение наград города</t>
  </si>
  <si>
    <t>Взносы в международные и российские организации</t>
  </si>
  <si>
    <t>Чествование юбиляров супружеской жизни</t>
  </si>
  <si>
    <t>Образование и организация деятельности административных комиссий</t>
  </si>
  <si>
    <t>99 0 92 0311 0</t>
  </si>
  <si>
    <t>99 0 92 0312 0</t>
  </si>
  <si>
    <t>Организация и осуществление деятельности по опеке и попечительству</t>
  </si>
  <si>
    <t>Осуществление государственного контроля и надзора в области долевого строительства многоквартирных домов и (или) иных объектов недвижимости</t>
  </si>
  <si>
    <t>99 0 92 0322 0</t>
  </si>
  <si>
    <t>Содержание МКУ "Дирекция по конкурентной политике и закупкам города Казани"</t>
  </si>
  <si>
    <t>99 0 92 0325 0</t>
  </si>
  <si>
    <t>Содержание МКУ "Казанский городской общественный центр"</t>
  </si>
  <si>
    <t>99 0 92 0346 0</t>
  </si>
  <si>
    <t>Централизованные средства на содержание муниципальных учреждений</t>
  </si>
  <si>
    <t>И1 3 01 0000 0</t>
  </si>
  <si>
    <t>И1 3 01 9299 0</t>
  </si>
  <si>
    <t>И1 3 00 0000 0</t>
  </si>
  <si>
    <t>Подпрограмма «Обеспечение полномочий Муниципального бюджетного учреждения "Департамент телекоммуникационных технологий города Казани" на 2017-2019 годы»</t>
  </si>
  <si>
    <t>Основное мероприятие "Обеспечения реализации полномочий муниципального бюджетного учреждения «Департамент телекоммуникационных технологий города Казани»"</t>
  </si>
  <si>
    <t>12</t>
  </si>
  <si>
    <t>99 0 34 0030 0</t>
  </si>
  <si>
    <t>Г3 0 00 0000 0</t>
  </si>
  <si>
    <t>Г3 0 92 0000 0</t>
  </si>
  <si>
    <t>Г3 0 92 0334 0</t>
  </si>
  <si>
    <t>Мероприятия по землеустройству и землепользованию</t>
  </si>
  <si>
    <t>Возмещение части процентной ставки по кредитам уполномоченного банка на поддержку субъектов малого предпринимательства г.Казани</t>
  </si>
  <si>
    <t>муниципального образования города Казани на 2018 год</t>
  </si>
  <si>
    <t>Муниципальная программа "Поддержка малого и среднего предпринимательства в г. Казани на 2017 - 2019 годы"</t>
  </si>
  <si>
    <t>Муниципальная программа «Развитие образования в городе Казани на 2018 – 2022 годы»</t>
  </si>
  <si>
    <t>Муниципальная программа "Развитие молодежной политики в городе Казани на 2018 - 2022 годы"</t>
  </si>
  <si>
    <t>Муниципальная программа "Развитие физической культуры и спорта в городе Казани на 2018 - 2022 годы"</t>
  </si>
  <si>
    <t>Муниципальная программа "Развитие культуры в городе Казани на 2018 - 2022 годы"</t>
  </si>
  <si>
    <t>99 0 00 7930 0</t>
  </si>
  <si>
    <t>Г6 0 93 0000 0</t>
  </si>
  <si>
    <t>Г6 0 93 9299 0</t>
  </si>
  <si>
    <t>Основное мероприятие "Снижение уровня алкоголизации и наркотизации населения г.Казани"</t>
  </si>
  <si>
    <t>И1 2 01 0295 0</t>
  </si>
  <si>
    <t>Основное мероприятие "Повышение эффективности деятельности органов местного самоуправления г.Казани за счет повсеместного внедрения и использования информационных технологий, телекоммуникаций и связи и обеспечения требуемого уровня информационной безопасности"</t>
  </si>
  <si>
    <t>99 0 92 0338 0</t>
  </si>
  <si>
    <t>Разработка Генерального плана городского округа Казань</t>
  </si>
  <si>
    <t>08 7 04 0000 0</t>
  </si>
  <si>
    <t>08 7 04 9990 0</t>
  </si>
  <si>
    <t>08 7 05 0000 0</t>
  </si>
  <si>
    <t>08 7 05 9990 0</t>
  </si>
  <si>
    <t>ФО 1 03 0000 0</t>
  </si>
  <si>
    <t>ФО 1 03 9990 0</t>
  </si>
  <si>
    <t>ФО 1 04 0000 0</t>
  </si>
  <si>
    <t>ФО 1 04 9990 0</t>
  </si>
  <si>
    <t>Основное мероприятие "Обеспечение общественной безопасности и антитеррористической защищенности учреждений дополнительного образования спортивной направленности (ДЮСШ)"</t>
  </si>
  <si>
    <t xml:space="preserve">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(ДЮСШ) </t>
  </si>
  <si>
    <t>Основное мероприятие "Обеспечение энергосбережения и повышения энергетической эффективности учреждениями дополнительного образования спортивной направленности (ДЮСШ)"</t>
  </si>
  <si>
    <t>Реализация мероприятий,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(ДЮСШ)</t>
  </si>
  <si>
    <t>МО 4 00 0000 0</t>
  </si>
  <si>
    <t>МО 4 01 0000 0</t>
  </si>
  <si>
    <t>МО 4 01 4310 0</t>
  </si>
  <si>
    <t>Подпрограмма "Гражданско-патриотическое воспитание среди детей и молодежи"</t>
  </si>
  <si>
    <t>Организация и проведение мероприятий, направленных на патриотическое воспитание детей и молодежи</t>
  </si>
  <si>
    <t>Основное мероприятие "Формирование и совершенствование системы патриотического воспитания детей и молодежи"</t>
  </si>
  <si>
    <t>08 8 05 0000 0</t>
  </si>
  <si>
    <t>08 8 05 9990 0</t>
  </si>
  <si>
    <t>08 8 06 0000 0</t>
  </si>
  <si>
    <t>08 8 06 9990 0</t>
  </si>
  <si>
    <t>Основное мероприятие "Обеспечение общественной безопасности и антитеррористической защищенности учреждений культуры"</t>
  </si>
  <si>
    <t>Организация и проведение работ по обеспечению антитеррористической защищенности объектов учреждений культуры</t>
  </si>
  <si>
    <t>Основное мероприятие "Обеспечение энергосбережения и повышения энергетической эффективности учреждениями культуры"</t>
  </si>
  <si>
    <t>Реализация мероприятий, направленных на энергосбережение и повышение энергетической эффективности на объектах учреждений культуры</t>
  </si>
  <si>
    <t>ФО 2 05 0000 0</t>
  </si>
  <si>
    <t>ФО 2 05 9990 0</t>
  </si>
  <si>
    <t>ФО 2 06 0000 0</t>
  </si>
  <si>
    <t>ФО 2 06 9990 0</t>
  </si>
  <si>
    <t>Основное мероприятие "Обеспечение общественной безопасности и антитеррористической защищенности учреждений спортивной направленности "</t>
  </si>
  <si>
    <t xml:space="preserve">Организация и проведение работ по обеспечению антитеррористической защищенности объектов учреждений  спортивной направленности  </t>
  </si>
  <si>
    <t>Предоставление субсидий бюджетным, автономным учреждениям и иным некоммерческим организациям</t>
  </si>
  <si>
    <t>Основное мероприятие "Обеспечение энергосбережения и повышения энергетической эффективности учреждениями  спортивной направленности"</t>
  </si>
  <si>
    <t>Реализация мероприятий, направленных на энергосбережение и повышение энергетической эффективности на объектах учреждений  спортивной направленности</t>
  </si>
  <si>
    <t>99 0 00 5120 0</t>
  </si>
  <si>
    <t>Судебная система</t>
  </si>
  <si>
    <t>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t>
  </si>
  <si>
    <t>Р1 0 00 0000 0</t>
  </si>
  <si>
    <t>Р1 0 СА 0000 0</t>
  </si>
  <si>
    <t>Р1 0 СА 0204 0</t>
  </si>
  <si>
    <t>Р1 0 ПД 0000 0</t>
  </si>
  <si>
    <t>Р1 0 ПД 0310 0</t>
  </si>
  <si>
    <t>И1 1 00 0000 0</t>
  </si>
  <si>
    <t>И1 1 04 0000 0</t>
  </si>
  <si>
    <t>И1 1 03 0000 0</t>
  </si>
  <si>
    <t>И1 1 03 9299 0</t>
  </si>
  <si>
    <t>И1 1 04 9299 0</t>
  </si>
  <si>
    <t>02 2 02 4210 1</t>
  </si>
  <si>
    <t>МО 1 03 0000 0</t>
  </si>
  <si>
    <t>МО 1 03 9990 0</t>
  </si>
  <si>
    <t>МО 1 04 0000 0</t>
  </si>
  <si>
    <t>МО 1 04 9990 0</t>
  </si>
  <si>
    <t>02 6 04 0000 0</t>
  </si>
  <si>
    <t>02 6 04 9990 0</t>
  </si>
  <si>
    <t>02 6 05 0000 0</t>
  </si>
  <si>
    <t>02 6 05 9990 0</t>
  </si>
  <si>
    <t>02 7 00 0000 0</t>
  </si>
  <si>
    <t>99 0 00 2110 0</t>
  </si>
  <si>
    <t>И1 2 01 0310 0</t>
  </si>
  <si>
    <t>Муниципальная программа "Развитие сферы наружной рекламы и информации на территории города Казани в 2018-2020 годах"</t>
  </si>
  <si>
    <t>Р1 0 СА 0295 0</t>
  </si>
  <si>
    <t>Основное мероприятие "Обеспечение оперативного принудительного демонтажа незаконно размещаемых рекламных конструкций"</t>
  </si>
  <si>
    <t>Принудительный демонтаж незаконно размещаемых рекламных конструкций</t>
  </si>
  <si>
    <t>Подпрограмма "Построение и развитие аппаратно-программного комплекса "Безопасный город" на 2017-2019 годы"</t>
  </si>
  <si>
    <t>Основное мероприятие "Развитие видеонаблюдения на объектах социальной сферы, находящихся в муниципальной собственности"</t>
  </si>
  <si>
    <t>Основное мероприятие "Повышение безопасности на объектах социальной сферы, находящихся в муниципальной собственности"</t>
  </si>
  <si>
    <t>Обеспечение временной занятости учащихся общеобразовательных учреждений г.Казани в летнее время</t>
  </si>
  <si>
    <t>Основное мероприятие "Обеспечение общественной безопасности и антитеррористической защищенности учреждений молодежной политики"</t>
  </si>
  <si>
    <t>Организация и проведение работ по обеспечению антитеррористической защищенности объектов учреждений молодежной политики</t>
  </si>
  <si>
    <t>Основное мероприятие "Обеспечение энергосбережения и повышения энергетической эффективности учреждениями молодежной политики"</t>
  </si>
  <si>
    <t>Реализация мероприятий, направленных на энергосбережение и повышение энергетической эффективности на объектах учреждений молодежной политики</t>
  </si>
  <si>
    <t>Организация и проведение работ по обеспечению антитеррористической защищенности объектов учреждений образования</t>
  </si>
  <si>
    <t>Подпрограмма "Совершенствование организации питания в учреждениях образования"</t>
  </si>
  <si>
    <t>Модернизация и развитие информационных и телекоммуникационных систем</t>
  </si>
  <si>
    <t>Резерв по фонду оплаты труда работников учреждений социально-культурной сферы</t>
  </si>
  <si>
    <t>Реализация мероприятий, направленных на энергосбережение и повышение энергетической эффективности на объектах учреждений образования</t>
  </si>
  <si>
    <t>Создание условий для обеспечения качественной организации питания в учреждениях образования</t>
  </si>
  <si>
    <t>02 7 01 0000 0</t>
  </si>
  <si>
    <t>02 7 01 9990 0</t>
  </si>
  <si>
    <t>Основное мероприятие "Обеспечение общественной безопасности и антитеррористической защищенности учреждений образования"</t>
  </si>
  <si>
    <t>Основное мероприятие "Обеспечение энергосбережения и повышения энергетической эффективности учреждений образования"</t>
  </si>
  <si>
    <t>Основное мероприятие "Реализация мероприятий, направленных на совершенствование организации питания в учреждениях образования"</t>
  </si>
  <si>
    <t>Другие вопросы в области национальной экономики</t>
  </si>
  <si>
    <t>Содержание МКУ "Автоматизированная система управления дорожным движением" в г.Казани</t>
  </si>
  <si>
    <t>Муниципальная программа "Развитие муниципальной службы в муниципальном образовании городе Казани на 2014 - 2019 годы"</t>
  </si>
  <si>
    <t>Подпрограмма "Развитие системы учреждений дополнительного образования, реализующих образовательные программы в области искусств"</t>
  </si>
  <si>
    <t>Обеспечение текущей деятельности учреждений дополнительного образования, реализующих образовательные программы в области искусств, в рамках муниципального задания</t>
  </si>
  <si>
    <t>Содержание МКУ "Комитет по развитию туризма г.Казани"</t>
  </si>
  <si>
    <t>99 0 92 0326 0</t>
  </si>
  <si>
    <t>Основное мероприятие «Развитие видеонаблюдения на общественных пространствах, парках и скверах, местах выражения общественного мнения»</t>
  </si>
  <si>
    <t>И1 1 01 0000 0</t>
  </si>
  <si>
    <t>И1 1 01 9299 0</t>
  </si>
  <si>
    <t>Государственная регистрация актов гражданского состояния (за счет средств г.Казани)</t>
  </si>
  <si>
    <t>Основное мероприятие "Обеспечение общественной безопасности и антитеррористической защищенности учреждений дополнительного образования,  реализующих образовательные программы в области искусств"</t>
  </si>
  <si>
    <t>Организация и проведение работ по обеспечению антитеррористической защищенности объектов учреждений дополнительного образования,  реализующих образовательные программы в области искусств</t>
  </si>
  <si>
    <t>Основное мероприятие "Обеспечение энергосбережения и повышения энергетической эффективности учреждениями дополнительного образования, реализующих образовательные программы в области искусств"</t>
  </si>
  <si>
    <t>Реализация мероприятий, направленных на энергосбережение и повышение энергетической эффективности на объектах учреждений дополнительного образования, реализующих образовательные программы в области искусств</t>
  </si>
  <si>
    <t>02 7 02 0000 0</t>
  </si>
  <si>
    <t>Основное мероприятие "Введение новых форм организации питания в общеобразовательных учреждениях"</t>
  </si>
  <si>
    <t>02 6 06 0000 0</t>
  </si>
  <si>
    <t>02 6 06 5410 0</t>
  </si>
  <si>
    <t>02 6 06 5410 1</t>
  </si>
  <si>
    <t>Доплаты гражданам, взявших на воспитание детей в приемную семью</t>
  </si>
  <si>
    <t>Компенсационные выплаты  гражданам, имеющих детей, посещающих дошкольные образовательные учреждения</t>
  </si>
  <si>
    <t>Основное  мероприятие "Предоставление мер социальной поддержки отдельным категориям граждан"</t>
  </si>
  <si>
    <t>02 7 02 0551 0</t>
  </si>
  <si>
    <t>Мероприятия по регулированию качества окружающей среды</t>
  </si>
  <si>
    <t>Б1 0 ТС 1910 0</t>
  </si>
  <si>
    <t>99 0 00 7805 0</t>
  </si>
  <si>
    <t>Прочие расходы в рамках модернизации и развития информационных и телекоммуникационных систем</t>
  </si>
  <si>
    <t>И1 2 01 0310 1</t>
  </si>
  <si>
    <t>Реализация работ по капитальному ремонту, строительству и реконструкции на административных объектах</t>
  </si>
  <si>
    <t>99 0 92 0332 0</t>
  </si>
  <si>
    <t>Бюджетные инвестиции местных бюджетов</t>
  </si>
  <si>
    <t>Капитальные вложения в объекты государственной (муниципальной) собственности</t>
  </si>
  <si>
    <t>400</t>
  </si>
  <si>
    <t>99 0 00 7531 0</t>
  </si>
  <si>
    <t>Предупреждение и ликвидация последствий чрезвычайных ситуаций и стихийных бедствий природного и техногенного характера</t>
  </si>
  <si>
    <t>99 0 92 0330 0</t>
  </si>
  <si>
    <t>О проведении работ по актуализации схемы теплоснабжения г.Казани</t>
  </si>
  <si>
    <t>99 0 92 0344 0</t>
  </si>
  <si>
    <t>Основное мероприятие "Капитальный ремонт объектов внешнего благоустройства"</t>
  </si>
  <si>
    <t>Б 1 0 КР 0000 0</t>
  </si>
  <si>
    <t>Улично-дорожная сеть</t>
  </si>
  <si>
    <t>Б 1 0 КР 7802 0</t>
  </si>
  <si>
    <t>Государственная программа "Обеспечение качественным жильем и услугами жилищно-коммунального хозяйства населения Республики Татарстан на 2014 - 2020 годы"</t>
  </si>
  <si>
    <t>Подпрограмма "Развитие социальной и инженерной инфраструктуры в рамках государственной программы "Обеспечение качественным жильем и услугами жилищно коммунального хозяйства населения Республики Татарстан на 2014 - 2020 годы"</t>
  </si>
  <si>
    <t>04 К 00 0000 0</t>
  </si>
  <si>
    <t>Бюджетные инвестиции и капитальный ремонт социальной и инженерной инфраструктуры государственной (муниципальной) собственности Республики Татарстан</t>
  </si>
  <si>
    <t>04 К 00 7231 0</t>
  </si>
  <si>
    <t>Дополнительные меры социальной поддержки отдельным категориям граждан, имеющим детей, посещающим дошкольные образовательные учреждения</t>
  </si>
  <si>
    <t>02 6 06 5410 2</t>
  </si>
  <si>
    <t>Основное мероприятие "Капитальные вложения"</t>
  </si>
  <si>
    <t>Б1 0 КВ 0000 0</t>
  </si>
  <si>
    <t>Строительство и реконструкция улично-дорожной сети</t>
  </si>
  <si>
    <t>Б1 0 КВ 7802 0</t>
  </si>
  <si>
    <t xml:space="preserve">        от _________ 2018 № ____</t>
  </si>
  <si>
    <t>99 0 35 0030 0</t>
  </si>
  <si>
    <t>Снос домов полностью отселенных в рамках реализации Программы по переселению граждан из аварийного жилищного фонда г.Казани</t>
  </si>
  <si>
    <t>99 0 00 4360 0</t>
  </si>
  <si>
    <t>Общегородские мероприятия</t>
  </si>
  <si>
    <t>Прочие мероприятия в области жилищного хозяйства</t>
  </si>
  <si>
    <t>Ж1 0 ТС 7606 0</t>
  </si>
  <si>
    <t>99 0 92 0307 0</t>
  </si>
  <si>
    <t>Повышение защищености населения, территории и объектов инфраструктуры г.Казани от чрезвычайных ситуаций природного и техногенного характера</t>
  </si>
  <si>
    <t>99 0 92 0309 0</t>
  </si>
  <si>
    <t>Образование и организация деятельности комиссий по делам несовершеннолетних и защите их прав</t>
  </si>
  <si>
    <t>Муниципальная программа «О кадровом обеспечении системы здравоохранения г.Казани на 2014-2022 годы»</t>
  </si>
  <si>
    <t>Г7 0 00 0000 0</t>
  </si>
  <si>
    <t>Основное мероприятие «Предоставление субсидий образовательным организациям высшего медицинского образования, осуществляющим обучение студентов (зачисление поступающих) по договорам об оказании платных образовательных услуг, обучаемых или зачисляемых по направлению Исполнительного комитета г.Казани на основании конкурсного отбора»</t>
  </si>
  <si>
    <t>Г7 0 КО 0000 0</t>
  </si>
  <si>
    <t>Кадровое обеспечение системы здравоохранения г.Казани</t>
  </si>
  <si>
    <t>Г7 0 КО 0310 0</t>
  </si>
  <si>
    <t>99 0 92 0316 0</t>
  </si>
  <si>
    <t>Выполнение проектно-изыскательских работ объекта культурного наследия "Доходный дом"</t>
  </si>
  <si>
    <t>99 0 92 0313 0</t>
  </si>
  <si>
    <t>Создание (развитие) и внедрение АПК "Безопасный город на территории г.Казани</t>
  </si>
  <si>
    <t>99 0 92 0334 0</t>
  </si>
  <si>
    <t>Реализация мероприятий по развитию городского парковочного пространства</t>
  </si>
  <si>
    <t>Заместитель Главы</t>
  </si>
  <si>
    <t>Л.Н.Андреева</t>
  </si>
  <si>
    <t>99 0 00 9960 0</t>
  </si>
  <si>
    <t>11 0 00 0000 0</t>
  </si>
  <si>
    <t>11 1 00 0000 0</t>
  </si>
  <si>
    <t>11 1 01 0000 0</t>
  </si>
  <si>
    <t>11 1 01 2518 0</t>
  </si>
  <si>
    <t>Мероприятия, направленные на развитие системы территориального общественного самоуправления Республики Татарстан</t>
  </si>
  <si>
    <t>Основное мероприятие «Повышение эффективности государственного управления, создание условий для развития инновационной деятельности и промышленного производства»</t>
  </si>
  <si>
    <t>Подпрограмма «Совершенствование государственной экономической политики в Республике Татарстан на 2014 – 2020 годы»</t>
  </si>
  <si>
    <t>Государственная программа «Экономическое развитие и инновационная экономика Республики Татарстан на 2014 – 2020 годы»</t>
  </si>
  <si>
    <t>99 0 92 0317 0</t>
  </si>
  <si>
    <t>Проведение операционной деятельности на территории, прилегающей к стадиону "Казань - Арена", в дни проведения матчей чемпионата мира по футболу FIFA 2018 года</t>
  </si>
  <si>
    <t>99 0 92 0333 0</t>
  </si>
  <si>
    <t>10 0 00 0000 0</t>
  </si>
  <si>
    <t>10 Ф 00 0000 0</t>
  </si>
  <si>
    <t>Государственная программа "Развитие молодежной политики, физической культуры и спорта в Республике Татарстан на 2014 - 2020 годы"</t>
  </si>
  <si>
    <t>Подпрограмма "Подготовка к проведению в 2018 году чемпионата мира по футболу"</t>
  </si>
  <si>
    <t>Реализация мероприятий по подготовке к проведению чемпионата мира по футболу FIFA 2018 года в г.Казани в области транспортного обеспечения</t>
  </si>
  <si>
    <t>23 0 00 0000 0</t>
  </si>
  <si>
    <t>23 0 01 0000 0</t>
  </si>
  <si>
    <t>23 0 01 7174 0</t>
  </si>
  <si>
    <t>Приобретение автобусов и техники, работающих на газомоторном топливе</t>
  </si>
  <si>
    <t>Государственная программа "Развитие рынка газомоторного топлива в Республике Татарстан на 2013 - 2023 годы"</t>
  </si>
  <si>
    <t>Основное мероприятие "Обеспечение устойчивого снижения уровня негативного воздействия автомобильного транспорта на окружающую среду и здоровье населения и достижение наибольшей экономической эффективности перевозок автотранспортными средствами"</t>
  </si>
  <si>
    <t>Ж1 0 ТС 7605 0</t>
  </si>
  <si>
    <t>Текущий ремонт жилищного фонда</t>
  </si>
  <si>
    <t>99 0 00 9990 0</t>
  </si>
  <si>
    <t>На капитальный ремонт автомашин, обслуживающих улично-дорожную сеть в г.Казани</t>
  </si>
  <si>
    <t>Б1 0 КВ 7805 0</t>
  </si>
  <si>
    <t>Другие вопросы в области жилищно-коммунального хозяйства</t>
  </si>
  <si>
    <t>09 2 00 0000 0</t>
  </si>
  <si>
    <t>09 2 01 0000 0</t>
  </si>
  <si>
    <t>09 2 01 1920 0</t>
  </si>
  <si>
    <t>09 2 01 1922 0</t>
  </si>
  <si>
    <t>Подпрограмма "Государственное управление в сфере обращения отходов производства и потребления в Республике Татарстан на 2014-2015 годы"</t>
  </si>
  <si>
    <t>Основное мероприятие "Предотвращение и ликвидация последствий загрязнения и иного негативного воздействия на окружающую среду"</t>
  </si>
  <si>
    <t>Реализация мероприятий в области обращения с отходами производства и потребления</t>
  </si>
  <si>
    <t>Ликвидация объектов накопленного экологического ущерба</t>
  </si>
  <si>
    <t>10 2 00 0000 0</t>
  </si>
  <si>
    <t>10 2 01 0000 0</t>
  </si>
  <si>
    <t xml:space="preserve">10 2 01 2133 0 </t>
  </si>
  <si>
    <t>10 2 01 2133 0</t>
  </si>
  <si>
    <t xml:space="preserve">10 2 01 2132 0 </t>
  </si>
  <si>
    <t>10 2 01 2132 0</t>
  </si>
  <si>
    <t>Подпрограмма "Организация отдыха детей и молодежи, их оздоровления и занятости на 2014 – 2020 годы"</t>
  </si>
  <si>
    <t>Основное мероприятие "Создание условий для организации отдыха детей и молодежи, их оздоровления, обеспечение их занятости и повышение оздоровительного эффекта"</t>
  </si>
  <si>
    <t>Мероприятия по организации отдыха, оздоровления, занятости детей и молодежи за счет средств бюджета Республики Татарстан</t>
  </si>
  <si>
    <t>Мероприятия по организации отдыха, оздоровления, занятости детей и молодежи за счет остатков средств бюджета Республики Татарстан на начало года</t>
  </si>
  <si>
    <t>02 2 09 0000 0</t>
  </si>
  <si>
    <t>02 2 09 2111 0</t>
  </si>
  <si>
    <t>Основное мероприятие "Модернизация системы общего образования, проведение мероприятий в области образования"</t>
  </si>
  <si>
    <t>Мероприятия, направленные на развитие образования в Республике Татарстан</t>
  </si>
  <si>
    <t>02 2 09 4360 0</t>
  </si>
  <si>
    <t>Проведение мероприятий для детей и молодежи</t>
  </si>
  <si>
    <t>10 1 00 0000 0</t>
  </si>
  <si>
    <t>10 1 01 0000 0</t>
  </si>
  <si>
    <t>10 1 01 4365 0</t>
  </si>
  <si>
    <t>Подпрограмма "Развитие физической культуры и спорта в Республике Татарстан на 2014 – 2020 годы"</t>
  </si>
  <si>
    <t>Основное мероприятие "Реализация государственной политики в области физической культуры и спорта в Республике Татарстан"</t>
  </si>
  <si>
    <t>Развитие детско-юношеского спорта</t>
  </si>
  <si>
    <t>Реализация работ по капитальному ремонту, строительству и реконструкции на объектах социально-культурной сферы</t>
  </si>
  <si>
    <t>08 Ж 00 0000 0</t>
  </si>
  <si>
    <t>08 Ж 01 0000 0</t>
  </si>
  <si>
    <t>08 Ж 01 4410 0</t>
  </si>
  <si>
    <t>08 К 00 0000 0</t>
  </si>
  <si>
    <t>08 К 00 7231 0</t>
  </si>
  <si>
    <t>Подпрограмма «Развитие системы государственного управления отрасли на 2014 – 2020 годы»</t>
  </si>
  <si>
    <t>Основное мероприятие «Обеспечение реализации государственной политики и регулирования отношений в сфере культуры, искусства, кинематографии, охраны и использования объектов культурного наследия»</t>
  </si>
  <si>
    <t>Мероприятия в сфере культуры и кинематографии</t>
  </si>
  <si>
    <t>Подпрограмма "Развитие социальной и инженерной инфраструктуры в рамках государственной программы "Развитие культуры Республики Татарстан на 2014-2020 годы"</t>
  </si>
  <si>
    <t>10 К 00 0000 0</t>
  </si>
  <si>
    <t>10 К 00 7231 0</t>
  </si>
  <si>
    <t>Подпрограмма "Развитие социальной и инженерной инфраструктуры в рамках государственной программы "Развитие молодежной политики, физической культуры и спорта в Республике Татарстан на 2014 - 2020 годы"</t>
  </si>
  <si>
    <t>Субсидия некоммерческим организациям на финансовое обеспечение (возмещение) затрат, связанных с деятельностью исторического парка «Россия-Моя история»</t>
  </si>
  <si>
    <t>08 Ж  01 4410 0</t>
  </si>
  <si>
    <t>11 1 01 7232 0</t>
  </si>
  <si>
    <t>99 0 92 0340 0</t>
  </si>
  <si>
    <t>10 Ф 00 0318 0</t>
  </si>
  <si>
    <t xml:space="preserve">04 </t>
  </si>
  <si>
    <t>02 4 03 2111 0</t>
  </si>
  <si>
    <t>99 0 92 0337 0</t>
  </si>
  <si>
    <t>02 К 00 7231 0</t>
  </si>
  <si>
    <t>99 0 92 0350 0</t>
  </si>
  <si>
    <t>02 К 00 0000 0</t>
  </si>
  <si>
    <t>Совершенствование системы расселения, застройки, развитие инженерной, транспортной инфраструктуры</t>
  </si>
  <si>
    <t xml:space="preserve"> Инвентаризация бесхозных сетей газоснабжения </t>
  </si>
  <si>
    <t>Подпрограмма "Развитие социальной и инженерной инфраструктуры в рамках государственной программы "Развитие образования и науки Республики Татарстан на 2014 - 2025 годы"</t>
  </si>
  <si>
    <t xml:space="preserve">        Приложение №2</t>
  </si>
  <si>
    <t>Оснащение учебным оборудованием муниципальных общеобразовательных учреждений г.Казани за счет средств Республики Татарстан</t>
  </si>
  <si>
    <t>Подпрограмма "Развитие профессионального и послевузовского образования и повышение квалификации работников данной сферы на 2014-2020 годы</t>
  </si>
  <si>
    <t>02 4 00 0000 0</t>
  </si>
  <si>
    <t>Основное мероприятие "Модернизация системы профессионального образования, проведение мероприятий в области образования"</t>
  </si>
  <si>
    <t>02 4 03 0000 0</t>
  </si>
  <si>
    <t>Мороприятия, направленные на развитие образования в Республике Татарстан</t>
  </si>
  <si>
    <t>Поощрение победителей и призеров конкурса "Лучшее оформление новогодней елки среди муниципальных образований Республики Татарстан</t>
  </si>
  <si>
    <t>99 0 00 0551 0</t>
  </si>
  <si>
    <t>Б1 0 КР 7805 0</t>
  </si>
  <si>
    <t>Б1 0 КР 0000 0</t>
  </si>
  <si>
    <t>Б1 0 КВ 7801 0</t>
  </si>
  <si>
    <t>99 0 92 0335 0</t>
  </si>
  <si>
    <t>Подготовка топографической съемки, разработка проектов планировки и межевания территории, проведение землеустроительных и кадастровых работ в целях формирования земельных участков для предоставления многодетным семьям г.Казани</t>
  </si>
  <si>
    <t>Развитие жилищно-коммунального хозяйства города Казани</t>
  </si>
  <si>
    <t>99 Ж 00 0000 0</t>
  </si>
  <si>
    <t>Капитальный ремонт объектов жилищно-коммунального хозяйства</t>
  </si>
  <si>
    <t>99 Ж КР 0000 0</t>
  </si>
  <si>
    <t>99 Ж КР 7603 0</t>
  </si>
  <si>
    <t>Реализация государственных полномочий в сфере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</si>
</sst>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7" x14ac:knownFonts="1">
    <font>
      <sz val="10"/>
      <name val="Arial Cyr"/>
      <charset val="204"/>
    </font>
    <font>
      <sz val="11"/>
      <name val="Times New Roman"/>
      <family val="1"/>
    </font>
    <font>
      <b/>
      <sz val="14"/>
      <name val="Times New Roman"/>
      <family val="1"/>
    </font>
    <font>
      <b/>
      <sz val="14"/>
      <name val="Times New Roman"/>
      <family val="1"/>
      <charset val="204"/>
    </font>
    <font>
      <sz val="10"/>
      <name val="Times New Roman"/>
      <family val="1"/>
    </font>
    <font>
      <b/>
      <sz val="11"/>
      <name val="Times New Roman"/>
      <family val="1"/>
    </font>
    <font>
      <sz val="11"/>
      <color indexed="8"/>
      <name val="Times New Roman"/>
      <family val="1"/>
      <charset val="204"/>
    </font>
    <font>
      <b/>
      <sz val="11"/>
      <name val="Times New Roman"/>
      <family val="1"/>
      <charset val="204"/>
    </font>
    <font>
      <sz val="11"/>
      <name val="Times New Roman"/>
      <family val="1"/>
      <charset val="204"/>
    </font>
    <font>
      <b/>
      <sz val="11"/>
      <color indexed="8"/>
      <name val="Times New Roman"/>
      <family val="1"/>
      <charset val="204"/>
    </font>
    <font>
      <sz val="14"/>
      <name val="Times New Roman"/>
      <family val="1"/>
    </font>
    <font>
      <sz val="8"/>
      <name val="Arial Cyr"/>
      <charset val="204"/>
    </font>
    <font>
      <sz val="12"/>
      <name val="Times New Roman"/>
      <family val="1"/>
    </font>
    <font>
      <sz val="11"/>
      <color theme="1"/>
      <name val="Times New Roman"/>
      <family val="1"/>
      <charset val="204"/>
    </font>
    <font>
      <sz val="11"/>
      <color rgb="FF000000"/>
      <name val="Times New Roman"/>
      <family val="1"/>
      <charset val="204"/>
    </font>
    <font>
      <b/>
      <sz val="11"/>
      <color theme="1"/>
      <name val="Times New Roman"/>
      <family val="1"/>
      <charset val="204"/>
    </font>
    <font>
      <sz val="10"/>
      <name val="Arial Cyr"/>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6" fillId="0" borderId="0" applyFont="0" applyFill="0" applyBorder="0" applyAlignment="0" applyProtection="0"/>
  </cellStyleXfs>
  <cellXfs count="85">
    <xf numFmtId="0" fontId="0" fillId="0" borderId="0" xfId="0"/>
    <xf numFmtId="0" fontId="1" fillId="0" borderId="0" xfId="0" applyFont="1" applyFill="1" applyAlignment="1">
      <alignment horizontal="justify" vertical="top"/>
    </xf>
    <xf numFmtId="49" fontId="1" fillId="0" borderId="0" xfId="0" applyNumberFormat="1" applyFont="1" applyFill="1" applyAlignment="1">
      <alignment horizontal="center" vertical="top"/>
    </xf>
    <xf numFmtId="0" fontId="1" fillId="0" borderId="0" xfId="0" applyFont="1" applyFill="1" applyAlignment="1">
      <alignment vertical="top"/>
    </xf>
    <xf numFmtId="0" fontId="1" fillId="0" borderId="0" xfId="0" applyFont="1" applyFill="1" applyAlignment="1">
      <alignment horizontal="center" vertical="top"/>
    </xf>
    <xf numFmtId="49" fontId="3" fillId="0" borderId="0" xfId="0" applyNumberFormat="1" applyFont="1" applyFill="1" applyAlignment="1">
      <alignment horizontal="center" vertical="top"/>
    </xf>
    <xf numFmtId="0" fontId="3" fillId="0" borderId="0" xfId="0" applyFont="1" applyFill="1" applyAlignment="1">
      <alignment vertical="top"/>
    </xf>
    <xf numFmtId="0" fontId="1" fillId="0" borderId="0" xfId="0" applyFont="1" applyFill="1" applyAlignment="1">
      <alignment horizontal="right" vertical="top"/>
    </xf>
    <xf numFmtId="0" fontId="5" fillId="0" borderId="1" xfId="0" applyFont="1" applyFill="1" applyBorder="1" applyAlignment="1">
      <alignment horizontal="center" vertical="top"/>
    </xf>
    <xf numFmtId="49" fontId="5" fillId="0" borderId="1" xfId="0" applyNumberFormat="1" applyFont="1" applyFill="1" applyBorder="1" applyAlignment="1">
      <alignment horizontal="center" vertical="top"/>
    </xf>
    <xf numFmtId="0" fontId="5" fillId="0" borderId="0" xfId="0" applyFont="1" applyFill="1" applyBorder="1" applyAlignment="1">
      <alignment horizontal="center" vertical="top"/>
    </xf>
    <xf numFmtId="49" fontId="5" fillId="0" borderId="0" xfId="0" applyNumberFormat="1" applyFont="1" applyFill="1" applyBorder="1" applyAlignment="1">
      <alignment horizontal="center" vertical="top"/>
    </xf>
    <xf numFmtId="0" fontId="5" fillId="0" borderId="0" xfId="0" applyFont="1" applyFill="1" applyAlignment="1">
      <alignment horizontal="justify" vertical="top"/>
    </xf>
    <xf numFmtId="49" fontId="5" fillId="0" borderId="0" xfId="0" applyNumberFormat="1" applyFont="1" applyFill="1" applyAlignment="1">
      <alignment horizontal="center" vertical="top"/>
    </xf>
    <xf numFmtId="164" fontId="5" fillId="0" borderId="0" xfId="0" applyNumberFormat="1" applyFont="1" applyFill="1" applyAlignment="1">
      <alignment vertical="top"/>
    </xf>
    <xf numFmtId="0" fontId="5" fillId="0" borderId="0" xfId="0" applyFont="1" applyFill="1" applyAlignment="1">
      <alignment horizontal="justify" vertical="top" wrapText="1"/>
    </xf>
    <xf numFmtId="164" fontId="1" fillId="0" borderId="0" xfId="0" applyNumberFormat="1" applyFont="1" applyFill="1" applyAlignment="1">
      <alignment vertical="top"/>
    </xf>
    <xf numFmtId="0" fontId="5" fillId="0" borderId="0" xfId="0" applyFont="1" applyFill="1" applyAlignment="1">
      <alignment vertical="top"/>
    </xf>
    <xf numFmtId="164" fontId="7" fillId="0" borderId="0" xfId="0" applyNumberFormat="1" applyFont="1" applyFill="1" applyAlignment="1">
      <alignment vertical="top"/>
    </xf>
    <xf numFmtId="49" fontId="5" fillId="0" borderId="0" xfId="0" applyNumberFormat="1" applyFont="1" applyFill="1" applyAlignment="1">
      <alignment horizontal="center" vertical="top" wrapText="1"/>
    </xf>
    <xf numFmtId="49" fontId="1" fillId="0" borderId="0" xfId="0" applyNumberFormat="1" applyFont="1" applyFill="1" applyAlignment="1">
      <alignment horizontal="center" vertical="top" wrapText="1"/>
    </xf>
    <xf numFmtId="164" fontId="7" fillId="0" borderId="0" xfId="0" applyNumberFormat="1" applyFont="1" applyFill="1" applyAlignment="1">
      <alignment vertical="top" wrapText="1"/>
    </xf>
    <xf numFmtId="164" fontId="1" fillId="0" borderId="0" xfId="0" applyNumberFormat="1" applyFont="1" applyFill="1" applyAlignment="1">
      <alignment vertical="top" wrapText="1"/>
    </xf>
    <xf numFmtId="49" fontId="8" fillId="0" borderId="0" xfId="0" applyNumberFormat="1" applyFont="1" applyFill="1" applyAlignment="1">
      <alignment horizontal="center" vertical="top" wrapText="1"/>
    </xf>
    <xf numFmtId="49" fontId="8" fillId="0" borderId="0" xfId="0" applyNumberFormat="1" applyFont="1" applyFill="1" applyAlignment="1">
      <alignment horizontal="center" vertical="top"/>
    </xf>
    <xf numFmtId="0" fontId="1" fillId="0" borderId="0" xfId="0" applyFont="1" applyFill="1" applyAlignment="1">
      <alignment horizontal="justify" vertical="top" wrapText="1"/>
    </xf>
    <xf numFmtId="0" fontId="8" fillId="0" borderId="0" xfId="0" applyFont="1" applyFill="1" applyAlignment="1">
      <alignment horizontal="justify" vertical="top" wrapText="1"/>
    </xf>
    <xf numFmtId="164" fontId="8" fillId="0" borderId="0" xfId="0" applyNumberFormat="1" applyFont="1" applyFill="1" applyAlignment="1">
      <alignment vertical="top"/>
    </xf>
    <xf numFmtId="0" fontId="8" fillId="0" borderId="0" xfId="0" applyFont="1" applyFill="1" applyAlignment="1">
      <alignment horizontal="justify" vertical="top"/>
    </xf>
    <xf numFmtId="0" fontId="8" fillId="0" borderId="0" xfId="0" applyFont="1" applyFill="1" applyAlignment="1">
      <alignment vertical="top"/>
    </xf>
    <xf numFmtId="0" fontId="7" fillId="0" borderId="0" xfId="0" applyFont="1" applyFill="1" applyAlignment="1">
      <alignment horizontal="justify" vertical="top" wrapText="1"/>
    </xf>
    <xf numFmtId="49" fontId="7" fillId="0" borderId="0" xfId="0" applyNumberFormat="1" applyFont="1" applyFill="1" applyAlignment="1">
      <alignment horizontal="center" vertical="top" wrapText="1"/>
    </xf>
    <xf numFmtId="49" fontId="7" fillId="0" borderId="0" xfId="0" applyNumberFormat="1" applyFont="1" applyFill="1" applyAlignment="1">
      <alignment horizontal="center" vertical="top"/>
    </xf>
    <xf numFmtId="164" fontId="7" fillId="0" borderId="0" xfId="0" applyNumberFormat="1" applyFont="1" applyFill="1" applyAlignment="1">
      <alignment horizontal="right" vertical="top"/>
    </xf>
    <xf numFmtId="164" fontId="8" fillId="0" borderId="0" xfId="0" applyNumberFormat="1" applyFont="1" applyFill="1" applyAlignment="1">
      <alignment horizontal="right" vertical="top"/>
    </xf>
    <xf numFmtId="0" fontId="7" fillId="0" borderId="0" xfId="0" applyFont="1" applyFill="1" applyAlignment="1">
      <alignment vertical="top"/>
    </xf>
    <xf numFmtId="0" fontId="2" fillId="0" borderId="0" xfId="0" applyFont="1" applyFill="1" applyAlignment="1">
      <alignment horizontal="justify" vertical="top"/>
    </xf>
    <xf numFmtId="49" fontId="10" fillId="0" borderId="0" xfId="0" applyNumberFormat="1" applyFont="1" applyFill="1" applyAlignment="1">
      <alignment horizontal="center" vertical="top"/>
    </xf>
    <xf numFmtId="0" fontId="10" fillId="0" borderId="0" xfId="0" applyFont="1" applyFill="1" applyAlignment="1">
      <alignment horizontal="center" vertical="top"/>
    </xf>
    <xf numFmtId="0" fontId="10" fillId="0" borderId="0" xfId="0" applyFont="1" applyFill="1" applyAlignment="1">
      <alignment vertical="top"/>
    </xf>
    <xf numFmtId="0" fontId="12" fillId="0" borderId="0" xfId="0" applyFont="1" applyFill="1" applyAlignment="1">
      <alignment horizontal="right" vertical="top"/>
    </xf>
    <xf numFmtId="0" fontId="7" fillId="0" borderId="0" xfId="0" applyFont="1" applyFill="1" applyAlignment="1">
      <alignment horizontal="justify" vertical="top"/>
    </xf>
    <xf numFmtId="0" fontId="6" fillId="0" borderId="0" xfId="0" applyFont="1" applyFill="1" applyAlignment="1">
      <alignment horizontal="justify" vertical="top" wrapText="1"/>
    </xf>
    <xf numFmtId="164" fontId="8" fillId="0" borderId="0" xfId="0" applyNumberFormat="1" applyFont="1" applyFill="1" applyAlignment="1">
      <alignment vertical="top" wrapText="1"/>
    </xf>
    <xf numFmtId="0" fontId="1" fillId="0" borderId="0" xfId="0" applyFont="1" applyFill="1" applyAlignment="1">
      <alignment vertical="top" wrapText="1"/>
    </xf>
    <xf numFmtId="0" fontId="6" fillId="0" borderId="0" xfId="0" applyFont="1" applyFill="1" applyAlignment="1">
      <alignment horizontal="justify" vertical="top"/>
    </xf>
    <xf numFmtId="49" fontId="8" fillId="0" borderId="0" xfId="0" applyNumberFormat="1" applyFont="1" applyFill="1" applyAlignment="1">
      <alignment horizontal="left" vertical="top"/>
    </xf>
    <xf numFmtId="0" fontId="4" fillId="0" borderId="0" xfId="0" applyFont="1" applyFill="1" applyAlignment="1">
      <alignment vertical="top"/>
    </xf>
    <xf numFmtId="0" fontId="14" fillId="0" borderId="0" xfId="0" applyFont="1" applyFill="1" applyAlignment="1">
      <alignment horizontal="justify" vertical="top" wrapText="1"/>
    </xf>
    <xf numFmtId="49" fontId="14" fillId="0" borderId="0" xfId="0" applyNumberFormat="1" applyFont="1" applyFill="1" applyAlignment="1">
      <alignment horizontal="center" vertical="top" wrapText="1"/>
    </xf>
    <xf numFmtId="0" fontId="9" fillId="0" borderId="0" xfId="0" applyFont="1" applyFill="1" applyAlignment="1">
      <alignment horizontal="justify" vertical="top"/>
    </xf>
    <xf numFmtId="0" fontId="13" fillId="0" borderId="0" xfId="0" applyFont="1" applyFill="1" applyAlignment="1">
      <alignment horizontal="justify" vertical="top" wrapText="1"/>
    </xf>
    <xf numFmtId="0" fontId="13" fillId="0" borderId="0" xfId="0" applyFont="1" applyFill="1" applyAlignment="1">
      <alignment horizontal="center" vertical="top" wrapText="1"/>
    </xf>
    <xf numFmtId="0" fontId="9" fillId="0" borderId="0" xfId="0" applyFont="1" applyFill="1" applyAlignment="1">
      <alignment horizontal="justify" vertical="top" wrapText="1"/>
    </xf>
    <xf numFmtId="49" fontId="13" fillId="0" borderId="0" xfId="0" applyNumberFormat="1" applyFont="1" applyFill="1" applyAlignment="1">
      <alignment horizontal="center" vertical="top" wrapText="1"/>
    </xf>
    <xf numFmtId="0" fontId="1" fillId="0" borderId="0" xfId="0" applyFont="1" applyFill="1" applyAlignment="1">
      <alignment horizontal="left" vertical="top" wrapText="1"/>
    </xf>
    <xf numFmtId="0" fontId="6"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vertical="top"/>
    </xf>
    <xf numFmtId="0" fontId="6" fillId="0" borderId="0" xfId="0" applyFont="1" applyFill="1" applyAlignment="1">
      <alignment vertical="top" wrapText="1"/>
    </xf>
    <xf numFmtId="49" fontId="1" fillId="0" borderId="0" xfId="0" applyNumberFormat="1" applyFont="1" applyFill="1" applyAlignment="1">
      <alignment horizontal="justify" vertical="top" wrapText="1"/>
    </xf>
    <xf numFmtId="4" fontId="1" fillId="0" borderId="0" xfId="0" applyNumberFormat="1" applyFont="1" applyFill="1" applyAlignment="1">
      <alignment vertical="top" wrapText="1"/>
    </xf>
    <xf numFmtId="4" fontId="7" fillId="0" borderId="0" xfId="0" applyNumberFormat="1" applyFont="1" applyFill="1" applyAlignment="1">
      <alignment vertical="top" wrapText="1"/>
    </xf>
    <xf numFmtId="4" fontId="5" fillId="0" borderId="0" xfId="0" applyNumberFormat="1" applyFont="1" applyFill="1" applyAlignment="1">
      <alignment vertical="top"/>
    </xf>
    <xf numFmtId="4" fontId="2" fillId="0" borderId="0" xfId="0" applyNumberFormat="1" applyFont="1" applyFill="1" applyBorder="1" applyAlignment="1">
      <alignment horizontal="right" vertical="top"/>
    </xf>
    <xf numFmtId="49" fontId="15" fillId="0" borderId="0" xfId="0" applyNumberFormat="1" applyFont="1" applyFill="1" applyAlignment="1">
      <alignment horizontal="center" vertical="top" wrapText="1"/>
    </xf>
    <xf numFmtId="164" fontId="1" fillId="0" borderId="0" xfId="0" applyNumberFormat="1" applyFont="1" applyFill="1" applyAlignment="1">
      <alignment horizontal="right" vertical="top" wrapText="1"/>
    </xf>
    <xf numFmtId="0" fontId="14" fillId="0" borderId="0" xfId="0" applyFont="1" applyFill="1" applyAlignment="1">
      <alignment wrapText="1"/>
    </xf>
    <xf numFmtId="0" fontId="14" fillId="0" borderId="0" xfId="0" applyFont="1" applyFill="1" applyBorder="1" applyAlignment="1">
      <alignment horizontal="justify" vertical="center" wrapText="1"/>
    </xf>
    <xf numFmtId="43" fontId="1" fillId="0" borderId="0" xfId="1" applyFont="1" applyFill="1" applyAlignment="1">
      <alignment vertical="top"/>
    </xf>
    <xf numFmtId="43" fontId="1" fillId="0" borderId="0" xfId="0" applyNumberFormat="1" applyFont="1" applyFill="1" applyAlignment="1">
      <alignment vertical="top"/>
    </xf>
    <xf numFmtId="0" fontId="3" fillId="0" borderId="0" xfId="0" applyFont="1" applyFill="1" applyAlignment="1">
      <alignment horizontal="justify" vertical="top"/>
    </xf>
    <xf numFmtId="0" fontId="3" fillId="0" borderId="0" xfId="0" applyFont="1" applyFill="1" applyAlignment="1">
      <alignment horizontal="center" vertical="top"/>
    </xf>
    <xf numFmtId="0" fontId="3" fillId="0" borderId="0" xfId="0" applyFont="1" applyFill="1" applyAlignment="1">
      <alignment horizontal="right" vertical="top"/>
    </xf>
    <xf numFmtId="0" fontId="1" fillId="0" borderId="0" xfId="0" applyFont="1" applyFill="1" applyAlignment="1">
      <alignment horizontal="left" vertical="top"/>
    </xf>
    <xf numFmtId="0" fontId="6" fillId="0" borderId="0" xfId="0" applyFont="1" applyFill="1" applyBorder="1" applyAlignment="1">
      <alignment horizontal="justify" vertical="top" wrapText="1"/>
    </xf>
    <xf numFmtId="49" fontId="13" fillId="0" borderId="0" xfId="0" applyNumberFormat="1" applyFont="1" applyFill="1" applyAlignment="1">
      <alignment horizontal="center" vertical="top"/>
    </xf>
    <xf numFmtId="0" fontId="13" fillId="0" borderId="0" xfId="0" applyFont="1" applyFill="1" applyAlignment="1">
      <alignment horizontal="center" vertical="top"/>
    </xf>
    <xf numFmtId="0" fontId="13" fillId="0" borderId="0" xfId="0" applyFont="1" applyFill="1" applyBorder="1" applyAlignment="1">
      <alignment horizontal="justify" vertical="top"/>
    </xf>
    <xf numFmtId="4" fontId="8" fillId="0" borderId="0" xfId="0" applyNumberFormat="1" applyFont="1" applyFill="1" applyAlignment="1">
      <alignment vertical="top"/>
    </xf>
    <xf numFmtId="164" fontId="7" fillId="0" borderId="0" xfId="0" applyNumberFormat="1" applyFont="1" applyFill="1" applyAlignment="1">
      <alignment horizontal="center" vertical="top" wrapText="1"/>
    </xf>
    <xf numFmtId="164" fontId="8" fillId="0" borderId="0" xfId="0" applyNumberFormat="1" applyFont="1" applyFill="1" applyAlignment="1">
      <alignment horizontal="center" vertical="top" wrapText="1"/>
    </xf>
    <xf numFmtId="1" fontId="1" fillId="0" borderId="0" xfId="0" applyNumberFormat="1" applyFont="1" applyFill="1" applyAlignment="1">
      <alignment horizontal="center" vertical="top" wrapText="1"/>
    </xf>
    <xf numFmtId="49" fontId="2" fillId="0" borderId="0" xfId="0" applyNumberFormat="1" applyFont="1" applyFill="1" applyAlignment="1">
      <alignment horizontal="center" vertical="top"/>
    </xf>
    <xf numFmtId="0" fontId="1" fillId="0" borderId="0" xfId="0" applyFont="1" applyFill="1" applyAlignment="1">
      <alignment horizontal="left" vertical="top"/>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8"/>
  <sheetViews>
    <sheetView tabSelected="1" topLeftCell="A907" zoomScaleNormal="100" workbookViewId="0">
      <selection activeCell="F233" sqref="F233"/>
    </sheetView>
  </sheetViews>
  <sheetFormatPr defaultRowHeight="15" x14ac:dyDescent="0.2"/>
  <cols>
    <col min="1" max="1" width="63.7109375" style="1" customWidth="1"/>
    <col min="2" max="2" width="4" style="2" customWidth="1"/>
    <col min="3" max="3" width="3.7109375" style="4" customWidth="1"/>
    <col min="4" max="4" width="14.5703125" style="4" customWidth="1"/>
    <col min="5" max="5" width="5" style="4" customWidth="1"/>
    <col min="6" max="6" width="18.28515625" style="3" customWidth="1"/>
    <col min="7" max="16384" width="9.140625" style="3"/>
  </cols>
  <sheetData>
    <row r="1" spans="1:6" x14ac:dyDescent="0.2">
      <c r="D1" s="84" t="s">
        <v>748</v>
      </c>
      <c r="E1" s="84"/>
      <c r="F1" s="84"/>
    </row>
    <row r="2" spans="1:6" x14ac:dyDescent="0.2">
      <c r="D2" s="84" t="s">
        <v>68</v>
      </c>
      <c r="E2" s="84"/>
      <c r="F2" s="84"/>
    </row>
    <row r="3" spans="1:6" x14ac:dyDescent="0.2">
      <c r="D3" s="84" t="s">
        <v>67</v>
      </c>
      <c r="E3" s="84"/>
      <c r="F3" s="84"/>
    </row>
    <row r="4" spans="1:6" x14ac:dyDescent="0.2">
      <c r="D4" s="84" t="s">
        <v>637</v>
      </c>
      <c r="E4" s="84"/>
      <c r="F4" s="84"/>
    </row>
    <row r="5" spans="1:6" x14ac:dyDescent="0.2">
      <c r="F5" s="74"/>
    </row>
    <row r="6" spans="1:6" ht="15.75" x14ac:dyDescent="0.2">
      <c r="F6" s="40"/>
    </row>
    <row r="7" spans="1:6" ht="15.75" x14ac:dyDescent="0.2">
      <c r="F7" s="40" t="s">
        <v>378</v>
      </c>
    </row>
    <row r="8" spans="1:6" x14ac:dyDescent="0.2">
      <c r="F8" s="74"/>
    </row>
    <row r="9" spans="1:6" ht="18.75" x14ac:dyDescent="0.2">
      <c r="A9" s="83" t="s">
        <v>48</v>
      </c>
      <c r="B9" s="83"/>
      <c r="C9" s="83"/>
      <c r="D9" s="83"/>
      <c r="E9" s="83"/>
      <c r="F9" s="83"/>
    </row>
    <row r="10" spans="1:6" ht="18.75" x14ac:dyDescent="0.2">
      <c r="A10" s="83" t="s">
        <v>486</v>
      </c>
      <c r="B10" s="83"/>
      <c r="C10" s="83"/>
      <c r="D10" s="83"/>
      <c r="E10" s="83"/>
      <c r="F10" s="83"/>
    </row>
    <row r="11" spans="1:6" ht="18.75" x14ac:dyDescent="0.2">
      <c r="A11" s="83" t="s">
        <v>401</v>
      </c>
      <c r="B11" s="83"/>
      <c r="C11" s="83"/>
      <c r="D11" s="83"/>
      <c r="E11" s="83"/>
      <c r="F11" s="83"/>
    </row>
    <row r="12" spans="1:6" ht="18.75" x14ac:dyDescent="0.2">
      <c r="A12" s="83" t="s">
        <v>402</v>
      </c>
      <c r="B12" s="83"/>
      <c r="C12" s="83"/>
      <c r="D12" s="83"/>
      <c r="E12" s="83"/>
      <c r="F12" s="83"/>
    </row>
    <row r="13" spans="1:6" ht="18.75" x14ac:dyDescent="0.2">
      <c r="A13" s="83" t="s">
        <v>403</v>
      </c>
      <c r="B13" s="83"/>
      <c r="C13" s="83"/>
      <c r="D13" s="83"/>
      <c r="E13" s="83"/>
      <c r="F13" s="83"/>
    </row>
    <row r="14" spans="1:6" ht="18.75" x14ac:dyDescent="0.2">
      <c r="A14" s="83" t="s">
        <v>94</v>
      </c>
      <c r="B14" s="83"/>
      <c r="C14" s="83"/>
      <c r="D14" s="83"/>
      <c r="E14" s="83"/>
      <c r="F14" s="83"/>
    </row>
    <row r="15" spans="1:6" s="6" customFormat="1" ht="18.75" x14ac:dyDescent="0.2">
      <c r="A15" s="5"/>
      <c r="B15" s="5"/>
      <c r="C15" s="5"/>
      <c r="D15" s="5"/>
      <c r="E15" s="5"/>
      <c r="F15" s="5"/>
    </row>
    <row r="16" spans="1:6" s="47" customFormat="1" x14ac:dyDescent="0.2">
      <c r="A16" s="1"/>
      <c r="B16" s="2"/>
      <c r="C16" s="4"/>
      <c r="D16" s="4"/>
      <c r="E16" s="4"/>
      <c r="F16" s="7" t="s">
        <v>69</v>
      </c>
    </row>
    <row r="17" spans="1:6" s="47" customFormat="1" ht="14.25" x14ac:dyDescent="0.2">
      <c r="A17" s="8" t="s">
        <v>0</v>
      </c>
      <c r="B17" s="9" t="s">
        <v>1</v>
      </c>
      <c r="C17" s="8" t="s">
        <v>2</v>
      </c>
      <c r="D17" s="8" t="s">
        <v>3</v>
      </c>
      <c r="E17" s="8" t="s">
        <v>4</v>
      </c>
      <c r="F17" s="8" t="s">
        <v>5</v>
      </c>
    </row>
    <row r="18" spans="1:6" s="47" customFormat="1" ht="14.25" x14ac:dyDescent="0.2">
      <c r="A18" s="10"/>
      <c r="B18" s="11"/>
      <c r="C18" s="10"/>
      <c r="D18" s="10"/>
      <c r="E18" s="10"/>
      <c r="F18" s="10"/>
    </row>
    <row r="19" spans="1:6" x14ac:dyDescent="0.2">
      <c r="A19" s="12" t="s">
        <v>6</v>
      </c>
      <c r="B19" s="13" t="s">
        <v>7</v>
      </c>
      <c r="C19" s="13"/>
      <c r="D19" s="13"/>
      <c r="E19" s="13"/>
      <c r="F19" s="63">
        <f>F20+F24+F30+F104+F108+F114+F120+F124</f>
        <v>2755660.4399999995</v>
      </c>
    </row>
    <row r="20" spans="1:6" s="17" customFormat="1" ht="28.5" x14ac:dyDescent="0.2">
      <c r="A20" s="15" t="s">
        <v>8</v>
      </c>
      <c r="B20" s="13" t="s">
        <v>7</v>
      </c>
      <c r="C20" s="13" t="s">
        <v>9</v>
      </c>
      <c r="D20" s="13"/>
      <c r="E20" s="13"/>
      <c r="F20" s="18">
        <f>F21</f>
        <v>4243.8999999999996</v>
      </c>
    </row>
    <row r="21" spans="1:6" s="29" customFormat="1" x14ac:dyDescent="0.2">
      <c r="A21" s="26" t="s">
        <v>95</v>
      </c>
      <c r="B21" s="24" t="s">
        <v>7</v>
      </c>
      <c r="C21" s="24" t="s">
        <v>9</v>
      </c>
      <c r="D21" s="24" t="s">
        <v>102</v>
      </c>
      <c r="E21" s="24"/>
      <c r="F21" s="27">
        <f>F22</f>
        <v>4243.8999999999996</v>
      </c>
    </row>
    <row r="22" spans="1:6" x14ac:dyDescent="0.2">
      <c r="A22" s="45" t="s">
        <v>10</v>
      </c>
      <c r="B22" s="2" t="s">
        <v>7</v>
      </c>
      <c r="C22" s="2" t="s">
        <v>9</v>
      </c>
      <c r="D22" s="2" t="s">
        <v>323</v>
      </c>
      <c r="E22" s="2"/>
      <c r="F22" s="16">
        <f>F23</f>
        <v>4243.8999999999996</v>
      </c>
    </row>
    <row r="23" spans="1:6" ht="60" x14ac:dyDescent="0.2">
      <c r="A23" s="45" t="s">
        <v>84</v>
      </c>
      <c r="B23" s="2" t="s">
        <v>7</v>
      </c>
      <c r="C23" s="2" t="s">
        <v>9</v>
      </c>
      <c r="D23" s="2" t="s">
        <v>323</v>
      </c>
      <c r="E23" s="2" t="s">
        <v>80</v>
      </c>
      <c r="F23" s="16">
        <f>2323.2+269.2+927.9+723.6</f>
        <v>4243.8999999999996</v>
      </c>
    </row>
    <row r="24" spans="1:6" s="17" customFormat="1" ht="42.75" x14ac:dyDescent="0.2">
      <c r="A24" s="12" t="s">
        <v>11</v>
      </c>
      <c r="B24" s="13" t="s">
        <v>7</v>
      </c>
      <c r="C24" s="13" t="s">
        <v>12</v>
      </c>
      <c r="D24" s="13"/>
      <c r="E24" s="13"/>
      <c r="F24" s="18">
        <f>F25</f>
        <v>38784.699999999997</v>
      </c>
    </row>
    <row r="25" spans="1:6" x14ac:dyDescent="0.2">
      <c r="A25" s="48" t="s">
        <v>95</v>
      </c>
      <c r="B25" s="49" t="s">
        <v>7</v>
      </c>
      <c r="C25" s="49" t="s">
        <v>12</v>
      </c>
      <c r="D25" s="49" t="s">
        <v>102</v>
      </c>
      <c r="E25" s="24"/>
      <c r="F25" s="16">
        <f>F26</f>
        <v>38784.699999999997</v>
      </c>
    </row>
    <row r="26" spans="1:6" x14ac:dyDescent="0.2">
      <c r="A26" s="1" t="s">
        <v>13</v>
      </c>
      <c r="B26" s="2" t="s">
        <v>7</v>
      </c>
      <c r="C26" s="49" t="s">
        <v>12</v>
      </c>
      <c r="D26" s="49" t="s">
        <v>103</v>
      </c>
      <c r="E26" s="2"/>
      <c r="F26" s="16">
        <f>F27+F28+F29</f>
        <v>38784.699999999997</v>
      </c>
    </row>
    <row r="27" spans="1:6" ht="60" x14ac:dyDescent="0.2">
      <c r="A27" s="45" t="s">
        <v>84</v>
      </c>
      <c r="B27" s="2" t="s">
        <v>7</v>
      </c>
      <c r="C27" s="49" t="s">
        <v>12</v>
      </c>
      <c r="D27" s="49" t="s">
        <v>103</v>
      </c>
      <c r="E27" s="2" t="s">
        <v>80</v>
      </c>
      <c r="F27" s="16">
        <f>27676.6+2468+4187.5+2736.3</f>
        <v>37068.400000000001</v>
      </c>
    </row>
    <row r="28" spans="1:6" ht="30" x14ac:dyDescent="0.2">
      <c r="A28" s="45" t="s">
        <v>83</v>
      </c>
      <c r="B28" s="2" t="s">
        <v>7</v>
      </c>
      <c r="C28" s="49" t="s">
        <v>12</v>
      </c>
      <c r="D28" s="49" t="s">
        <v>103</v>
      </c>
      <c r="E28" s="2" t="s">
        <v>81</v>
      </c>
      <c r="F28" s="16">
        <f>1699.7+14.4</f>
        <v>1714.1000000000001</v>
      </c>
    </row>
    <row r="29" spans="1:6" x14ac:dyDescent="0.2">
      <c r="A29" s="45" t="s">
        <v>86</v>
      </c>
      <c r="B29" s="2" t="s">
        <v>7</v>
      </c>
      <c r="C29" s="49" t="s">
        <v>12</v>
      </c>
      <c r="D29" s="49" t="s">
        <v>103</v>
      </c>
      <c r="E29" s="2" t="s">
        <v>82</v>
      </c>
      <c r="F29" s="16">
        <v>2.2000000000000002</v>
      </c>
    </row>
    <row r="30" spans="1:6" ht="45.75" customHeight="1" x14ac:dyDescent="0.2">
      <c r="A30" s="15" t="s">
        <v>14</v>
      </c>
      <c r="B30" s="19" t="s">
        <v>7</v>
      </c>
      <c r="C30" s="19" t="s">
        <v>15</v>
      </c>
      <c r="D30" s="20"/>
      <c r="E30" s="20"/>
      <c r="F30" s="21">
        <f>F31+F36+F43+F50+F78+F84+F97+F57+F63+F69+F91</f>
        <v>998865.90000000014</v>
      </c>
    </row>
    <row r="31" spans="1:6" ht="30" x14ac:dyDescent="0.25">
      <c r="A31" s="67" t="s">
        <v>443</v>
      </c>
      <c r="B31" s="49" t="s">
        <v>7</v>
      </c>
      <c r="C31" s="49" t="s">
        <v>15</v>
      </c>
      <c r="D31" s="20" t="s">
        <v>130</v>
      </c>
      <c r="E31" s="20"/>
      <c r="F31" s="43">
        <f>F32</f>
        <v>3948.7</v>
      </c>
    </row>
    <row r="32" spans="1:6" s="29" customFormat="1" ht="45" x14ac:dyDescent="0.25">
      <c r="A32" s="67" t="s">
        <v>444</v>
      </c>
      <c r="B32" s="49" t="s">
        <v>7</v>
      </c>
      <c r="C32" s="49" t="s">
        <v>15</v>
      </c>
      <c r="D32" s="23" t="s">
        <v>131</v>
      </c>
      <c r="E32" s="23"/>
      <c r="F32" s="43">
        <f>F33</f>
        <v>3948.7</v>
      </c>
    </row>
    <row r="33" spans="1:6" s="29" customFormat="1" ht="90" x14ac:dyDescent="0.2">
      <c r="A33" s="68" t="s">
        <v>445</v>
      </c>
      <c r="B33" s="49" t="s">
        <v>7</v>
      </c>
      <c r="C33" s="49" t="s">
        <v>15</v>
      </c>
      <c r="D33" s="23" t="s">
        <v>133</v>
      </c>
      <c r="E33" s="23"/>
      <c r="F33" s="43">
        <f>F34</f>
        <v>3948.7</v>
      </c>
    </row>
    <row r="34" spans="1:6" s="29" customFormat="1" ht="15.75" customHeight="1" x14ac:dyDescent="0.2">
      <c r="A34" s="26" t="s">
        <v>65</v>
      </c>
      <c r="B34" s="49" t="s">
        <v>7</v>
      </c>
      <c r="C34" s="49" t="s">
        <v>15</v>
      </c>
      <c r="D34" s="23" t="s">
        <v>134</v>
      </c>
      <c r="E34" s="23"/>
      <c r="F34" s="43">
        <f>F35</f>
        <v>3948.7</v>
      </c>
    </row>
    <row r="35" spans="1:6" ht="60" x14ac:dyDescent="0.2">
      <c r="A35" s="45" t="s">
        <v>84</v>
      </c>
      <c r="B35" s="49" t="s">
        <v>7</v>
      </c>
      <c r="C35" s="49" t="s">
        <v>15</v>
      </c>
      <c r="D35" s="23" t="s">
        <v>134</v>
      </c>
      <c r="E35" s="20" t="s">
        <v>80</v>
      </c>
      <c r="F35" s="43">
        <f>3117.6+831.1</f>
        <v>3948.7</v>
      </c>
    </row>
    <row r="36" spans="1:6" ht="30" x14ac:dyDescent="0.2">
      <c r="A36" s="51" t="s">
        <v>488</v>
      </c>
      <c r="B36" s="49" t="s">
        <v>7</v>
      </c>
      <c r="C36" s="49" t="s">
        <v>15</v>
      </c>
      <c r="D36" s="20" t="s">
        <v>130</v>
      </c>
      <c r="E36" s="20"/>
      <c r="F36" s="43">
        <f>F37</f>
        <v>31756.6</v>
      </c>
    </row>
    <row r="37" spans="1:6" s="29" customFormat="1" x14ac:dyDescent="0.2">
      <c r="A37" s="26" t="s">
        <v>135</v>
      </c>
      <c r="B37" s="49" t="s">
        <v>7</v>
      </c>
      <c r="C37" s="49" t="s">
        <v>15</v>
      </c>
      <c r="D37" s="23" t="s">
        <v>136</v>
      </c>
      <c r="E37" s="23"/>
      <c r="F37" s="43">
        <f>F38</f>
        <v>31756.6</v>
      </c>
    </row>
    <row r="38" spans="1:6" s="29" customFormat="1" ht="30" x14ac:dyDescent="0.2">
      <c r="A38" s="45" t="s">
        <v>272</v>
      </c>
      <c r="B38" s="49" t="s">
        <v>7</v>
      </c>
      <c r="C38" s="49" t="s">
        <v>15</v>
      </c>
      <c r="D38" s="23" t="s">
        <v>142</v>
      </c>
      <c r="E38" s="23"/>
      <c r="F38" s="43">
        <f>F39</f>
        <v>31756.6</v>
      </c>
    </row>
    <row r="39" spans="1:6" s="29" customFormat="1" x14ac:dyDescent="0.2">
      <c r="A39" s="26" t="s">
        <v>13</v>
      </c>
      <c r="B39" s="49" t="s">
        <v>7</v>
      </c>
      <c r="C39" s="49" t="s">
        <v>15</v>
      </c>
      <c r="D39" s="23" t="s">
        <v>143</v>
      </c>
      <c r="E39" s="23"/>
      <c r="F39" s="43">
        <f>SUM(F40:F42)</f>
        <v>31756.6</v>
      </c>
    </row>
    <row r="40" spans="1:6" s="29" customFormat="1" ht="60" x14ac:dyDescent="0.2">
      <c r="A40" s="45" t="s">
        <v>84</v>
      </c>
      <c r="B40" s="49" t="s">
        <v>7</v>
      </c>
      <c r="C40" s="49" t="s">
        <v>15</v>
      </c>
      <c r="D40" s="23" t="s">
        <v>143</v>
      </c>
      <c r="E40" s="23" t="s">
        <v>80</v>
      </c>
      <c r="F40" s="43">
        <f>20054+3622.4+5814.6+1859.6</f>
        <v>31350.6</v>
      </c>
    </row>
    <row r="41" spans="1:6" s="29" customFormat="1" ht="30" x14ac:dyDescent="0.2">
      <c r="A41" s="45" t="s">
        <v>83</v>
      </c>
      <c r="B41" s="49" t="s">
        <v>7</v>
      </c>
      <c r="C41" s="49" t="s">
        <v>15</v>
      </c>
      <c r="D41" s="23" t="s">
        <v>143</v>
      </c>
      <c r="E41" s="23" t="s">
        <v>81</v>
      </c>
      <c r="F41" s="43">
        <v>387.4</v>
      </c>
    </row>
    <row r="42" spans="1:6" s="29" customFormat="1" x14ac:dyDescent="0.2">
      <c r="A42" s="45" t="s">
        <v>86</v>
      </c>
      <c r="B42" s="49" t="s">
        <v>7</v>
      </c>
      <c r="C42" s="49" t="s">
        <v>15</v>
      </c>
      <c r="D42" s="23" t="s">
        <v>143</v>
      </c>
      <c r="E42" s="23" t="s">
        <v>82</v>
      </c>
      <c r="F42" s="43">
        <v>18.600000000000001</v>
      </c>
    </row>
    <row r="43" spans="1:6" s="29" customFormat="1" ht="30" x14ac:dyDescent="0.2">
      <c r="A43" s="45" t="s">
        <v>491</v>
      </c>
      <c r="B43" s="49" t="s">
        <v>7</v>
      </c>
      <c r="C43" s="49" t="s">
        <v>15</v>
      </c>
      <c r="D43" s="23" t="s">
        <v>137</v>
      </c>
      <c r="E43" s="23"/>
      <c r="F43" s="43">
        <f>F44</f>
        <v>9155.6</v>
      </c>
    </row>
    <row r="44" spans="1:6" s="29" customFormat="1" x14ac:dyDescent="0.2">
      <c r="A44" s="45" t="s">
        <v>138</v>
      </c>
      <c r="B44" s="49" t="s">
        <v>7</v>
      </c>
      <c r="C44" s="49" t="s">
        <v>15</v>
      </c>
      <c r="D44" s="23" t="s">
        <v>139</v>
      </c>
      <c r="E44" s="23"/>
      <c r="F44" s="43">
        <f>F45</f>
        <v>9155.6</v>
      </c>
    </row>
    <row r="45" spans="1:6" s="29" customFormat="1" ht="33" customHeight="1" x14ac:dyDescent="0.2">
      <c r="A45" s="45" t="s">
        <v>251</v>
      </c>
      <c r="B45" s="49" t="s">
        <v>7</v>
      </c>
      <c r="C45" s="49" t="s">
        <v>15</v>
      </c>
      <c r="D45" s="23" t="s">
        <v>140</v>
      </c>
      <c r="E45" s="23"/>
      <c r="F45" s="43">
        <f>F46</f>
        <v>9155.6</v>
      </c>
    </row>
    <row r="46" spans="1:6" s="29" customFormat="1" x14ac:dyDescent="0.2">
      <c r="A46" s="1" t="s">
        <v>13</v>
      </c>
      <c r="B46" s="49" t="s">
        <v>7</v>
      </c>
      <c r="C46" s="49" t="s">
        <v>15</v>
      </c>
      <c r="D46" s="23" t="s">
        <v>141</v>
      </c>
      <c r="E46" s="23"/>
      <c r="F46" s="43">
        <f>SUM(F47:F49)</f>
        <v>9155.6</v>
      </c>
    </row>
    <row r="47" spans="1:6" s="29" customFormat="1" ht="60" x14ac:dyDescent="0.2">
      <c r="A47" s="45" t="s">
        <v>84</v>
      </c>
      <c r="B47" s="49" t="s">
        <v>7</v>
      </c>
      <c r="C47" s="49" t="s">
        <v>15</v>
      </c>
      <c r="D47" s="23" t="s">
        <v>141</v>
      </c>
      <c r="E47" s="23" t="s">
        <v>80</v>
      </c>
      <c r="F47" s="43">
        <f>5888.7+582.2+920.2+556.1</f>
        <v>7947.2</v>
      </c>
    </row>
    <row r="48" spans="1:6" s="29" customFormat="1" ht="30" x14ac:dyDescent="0.2">
      <c r="A48" s="45" t="s">
        <v>83</v>
      </c>
      <c r="B48" s="49" t="s">
        <v>7</v>
      </c>
      <c r="C48" s="49" t="s">
        <v>15</v>
      </c>
      <c r="D48" s="23" t="s">
        <v>141</v>
      </c>
      <c r="E48" s="23" t="s">
        <v>81</v>
      </c>
      <c r="F48" s="43">
        <v>1206.2</v>
      </c>
    </row>
    <row r="49" spans="1:6" s="29" customFormat="1" x14ac:dyDescent="0.2">
      <c r="A49" s="45" t="s">
        <v>86</v>
      </c>
      <c r="B49" s="49" t="s">
        <v>7</v>
      </c>
      <c r="C49" s="49" t="s">
        <v>15</v>
      </c>
      <c r="D49" s="23" t="s">
        <v>141</v>
      </c>
      <c r="E49" s="23" t="s">
        <v>82</v>
      </c>
      <c r="F49" s="43">
        <v>2.2000000000000002</v>
      </c>
    </row>
    <row r="50" spans="1:6" x14ac:dyDescent="0.2">
      <c r="A50" s="48" t="s">
        <v>95</v>
      </c>
      <c r="B50" s="49" t="s">
        <v>7</v>
      </c>
      <c r="C50" s="49" t="s">
        <v>15</v>
      </c>
      <c r="D50" s="49" t="s">
        <v>102</v>
      </c>
      <c r="E50" s="24"/>
      <c r="F50" s="22">
        <f>F51+F55</f>
        <v>792799.3</v>
      </c>
    </row>
    <row r="51" spans="1:6" x14ac:dyDescent="0.2">
      <c r="A51" s="1" t="s">
        <v>13</v>
      </c>
      <c r="B51" s="2" t="s">
        <v>7</v>
      </c>
      <c r="C51" s="49" t="s">
        <v>15</v>
      </c>
      <c r="D51" s="49" t="s">
        <v>103</v>
      </c>
      <c r="E51" s="2"/>
      <c r="F51" s="22">
        <f>SUM(F52:F54)</f>
        <v>790830.3</v>
      </c>
    </row>
    <row r="52" spans="1:6" ht="60" x14ac:dyDescent="0.2">
      <c r="A52" s="45" t="s">
        <v>84</v>
      </c>
      <c r="B52" s="2" t="s">
        <v>7</v>
      </c>
      <c r="C52" s="49" t="s">
        <v>15</v>
      </c>
      <c r="D52" s="49" t="s">
        <v>103</v>
      </c>
      <c r="E52" s="2" t="s">
        <v>80</v>
      </c>
      <c r="F52" s="22">
        <f>420211-315.1+43238.6+83664.5+44776.7</f>
        <v>591575.69999999995</v>
      </c>
    </row>
    <row r="53" spans="1:6" ht="30" x14ac:dyDescent="0.2">
      <c r="A53" s="45" t="s">
        <v>83</v>
      </c>
      <c r="B53" s="2" t="s">
        <v>7</v>
      </c>
      <c r="C53" s="49" t="s">
        <v>15</v>
      </c>
      <c r="D53" s="49" t="s">
        <v>103</v>
      </c>
      <c r="E53" s="2" t="s">
        <v>81</v>
      </c>
      <c r="F53" s="22">
        <f>192067.6-1052.8+467.1+829.3+526.9+121.1+5939.6</f>
        <v>198898.80000000002</v>
      </c>
    </row>
    <row r="54" spans="1:6" x14ac:dyDescent="0.2">
      <c r="A54" s="45" t="s">
        <v>86</v>
      </c>
      <c r="B54" s="2" t="s">
        <v>7</v>
      </c>
      <c r="C54" s="49" t="s">
        <v>15</v>
      </c>
      <c r="D54" s="49" t="s">
        <v>103</v>
      </c>
      <c r="E54" s="2" t="s">
        <v>82</v>
      </c>
      <c r="F54" s="22">
        <v>355.8</v>
      </c>
    </row>
    <row r="55" spans="1:6" ht="30" x14ac:dyDescent="0.2">
      <c r="A55" s="42" t="s">
        <v>64</v>
      </c>
      <c r="B55" s="24" t="s">
        <v>7</v>
      </c>
      <c r="C55" s="24" t="s">
        <v>15</v>
      </c>
      <c r="D55" s="24" t="s">
        <v>104</v>
      </c>
      <c r="F55" s="16">
        <f>F56</f>
        <v>1969</v>
      </c>
    </row>
    <row r="56" spans="1:6" ht="60" x14ac:dyDescent="0.2">
      <c r="A56" s="45" t="s">
        <v>84</v>
      </c>
      <c r="B56" s="2" t="s">
        <v>7</v>
      </c>
      <c r="C56" s="2" t="s">
        <v>15</v>
      </c>
      <c r="D56" s="24" t="s">
        <v>104</v>
      </c>
      <c r="E56" s="2" t="s">
        <v>80</v>
      </c>
      <c r="F56" s="22">
        <f>1545.8+423.2</f>
        <v>1969</v>
      </c>
    </row>
    <row r="57" spans="1:6" ht="30" x14ac:dyDescent="0.2">
      <c r="A57" s="28" t="s">
        <v>151</v>
      </c>
      <c r="B57" s="23" t="s">
        <v>7</v>
      </c>
      <c r="C57" s="23" t="s">
        <v>15</v>
      </c>
      <c r="D57" s="24" t="s">
        <v>152</v>
      </c>
      <c r="E57" s="2"/>
      <c r="F57" s="22">
        <f>F58</f>
        <v>54028.9</v>
      </c>
    </row>
    <row r="58" spans="1:6" ht="16.5" customHeight="1" x14ac:dyDescent="0.2">
      <c r="A58" s="45" t="s">
        <v>355</v>
      </c>
      <c r="B58" s="2" t="s">
        <v>7</v>
      </c>
      <c r="C58" s="2" t="s">
        <v>15</v>
      </c>
      <c r="D58" s="24" t="s">
        <v>358</v>
      </c>
      <c r="E58" s="2"/>
      <c r="F58" s="22">
        <f>F59</f>
        <v>54028.9</v>
      </c>
    </row>
    <row r="59" spans="1:6" x14ac:dyDescent="0.2">
      <c r="A59" s="45" t="s">
        <v>13</v>
      </c>
      <c r="B59" s="2" t="s">
        <v>7</v>
      </c>
      <c r="C59" s="2" t="s">
        <v>15</v>
      </c>
      <c r="D59" s="24" t="s">
        <v>359</v>
      </c>
      <c r="E59" s="2"/>
      <c r="F59" s="22">
        <f>SUM(F60:F62)</f>
        <v>54028.9</v>
      </c>
    </row>
    <row r="60" spans="1:6" ht="60" x14ac:dyDescent="0.2">
      <c r="A60" s="45" t="s">
        <v>84</v>
      </c>
      <c r="B60" s="2" t="s">
        <v>7</v>
      </c>
      <c r="C60" s="2" t="s">
        <v>15</v>
      </c>
      <c r="D60" s="24" t="s">
        <v>359</v>
      </c>
      <c r="E60" s="2" t="s">
        <v>80</v>
      </c>
      <c r="F60" s="22">
        <f>35683.2+3643.8+5905.6+3765.3</f>
        <v>48997.9</v>
      </c>
    </row>
    <row r="61" spans="1:6" ht="30" x14ac:dyDescent="0.2">
      <c r="A61" s="45" t="s">
        <v>83</v>
      </c>
      <c r="B61" s="2" t="s">
        <v>7</v>
      </c>
      <c r="C61" s="2" t="s">
        <v>15</v>
      </c>
      <c r="D61" s="24" t="s">
        <v>359</v>
      </c>
      <c r="E61" s="2" t="s">
        <v>81</v>
      </c>
      <c r="F61" s="22">
        <f>4997.6+29.4</f>
        <v>5027</v>
      </c>
    </row>
    <row r="62" spans="1:6" x14ac:dyDescent="0.2">
      <c r="A62" s="45" t="s">
        <v>86</v>
      </c>
      <c r="B62" s="2" t="s">
        <v>7</v>
      </c>
      <c r="C62" s="2" t="s">
        <v>15</v>
      </c>
      <c r="D62" s="24" t="s">
        <v>359</v>
      </c>
      <c r="E62" s="2" t="s">
        <v>82</v>
      </c>
      <c r="F62" s="22">
        <v>4</v>
      </c>
    </row>
    <row r="63" spans="1:6" ht="30" x14ac:dyDescent="0.2">
      <c r="A63" s="60" t="s">
        <v>329</v>
      </c>
      <c r="B63" s="2" t="s">
        <v>7</v>
      </c>
      <c r="C63" s="2" t="s">
        <v>15</v>
      </c>
      <c r="D63" s="24" t="s">
        <v>330</v>
      </c>
      <c r="E63" s="2"/>
      <c r="F63" s="22">
        <f>F64</f>
        <v>34178.5</v>
      </c>
    </row>
    <row r="64" spans="1:6" ht="18" customHeight="1" x14ac:dyDescent="0.2">
      <c r="A64" s="45" t="s">
        <v>355</v>
      </c>
      <c r="B64" s="2" t="s">
        <v>7</v>
      </c>
      <c r="C64" s="2" t="s">
        <v>15</v>
      </c>
      <c r="D64" s="24" t="s">
        <v>356</v>
      </c>
      <c r="E64" s="2"/>
      <c r="F64" s="22">
        <f>F65</f>
        <v>34178.5</v>
      </c>
    </row>
    <row r="65" spans="1:6" x14ac:dyDescent="0.2">
      <c r="A65" s="45" t="s">
        <v>13</v>
      </c>
      <c r="B65" s="2" t="s">
        <v>7</v>
      </c>
      <c r="C65" s="2" t="s">
        <v>15</v>
      </c>
      <c r="D65" s="24" t="s">
        <v>357</v>
      </c>
      <c r="E65" s="2"/>
      <c r="F65" s="22">
        <f>SUM(F66:F68)</f>
        <v>34178.5</v>
      </c>
    </row>
    <row r="66" spans="1:6" ht="60" x14ac:dyDescent="0.2">
      <c r="A66" s="45" t="s">
        <v>84</v>
      </c>
      <c r="B66" s="2" t="s">
        <v>7</v>
      </c>
      <c r="C66" s="2" t="s">
        <v>15</v>
      </c>
      <c r="D66" s="24" t="s">
        <v>357</v>
      </c>
      <c r="E66" s="2" t="s">
        <v>80</v>
      </c>
      <c r="F66" s="22">
        <f>21682+2195.6+3452.2+2033.1</f>
        <v>29362.899999999998</v>
      </c>
    </row>
    <row r="67" spans="1:6" ht="30" x14ac:dyDescent="0.2">
      <c r="A67" s="45" t="s">
        <v>83</v>
      </c>
      <c r="B67" s="2" t="s">
        <v>7</v>
      </c>
      <c r="C67" s="2" t="s">
        <v>15</v>
      </c>
      <c r="D67" s="24" t="s">
        <v>357</v>
      </c>
      <c r="E67" s="2" t="s">
        <v>81</v>
      </c>
      <c r="F67" s="22">
        <f>2567+26.2+1257.7+952.9</f>
        <v>4803.7999999999993</v>
      </c>
    </row>
    <row r="68" spans="1:6" x14ac:dyDescent="0.2">
      <c r="A68" s="45" t="s">
        <v>86</v>
      </c>
      <c r="B68" s="2" t="s">
        <v>7</v>
      </c>
      <c r="C68" s="2" t="s">
        <v>15</v>
      </c>
      <c r="D68" s="24" t="s">
        <v>357</v>
      </c>
      <c r="E68" s="2" t="s">
        <v>82</v>
      </c>
      <c r="F68" s="22">
        <v>11.8</v>
      </c>
    </row>
    <row r="69" spans="1:6" ht="30" x14ac:dyDescent="0.2">
      <c r="A69" s="45" t="s">
        <v>452</v>
      </c>
      <c r="B69" s="2" t="s">
        <v>7</v>
      </c>
      <c r="C69" s="2" t="s">
        <v>15</v>
      </c>
      <c r="D69" s="24" t="s">
        <v>448</v>
      </c>
      <c r="E69" s="2"/>
      <c r="F69" s="22">
        <f>F70</f>
        <v>14354.199999999997</v>
      </c>
    </row>
    <row r="70" spans="1:6" ht="45" x14ac:dyDescent="0.2">
      <c r="A70" s="45" t="s">
        <v>453</v>
      </c>
      <c r="B70" s="2" t="s">
        <v>7</v>
      </c>
      <c r="C70" s="2" t="s">
        <v>15</v>
      </c>
      <c r="D70" s="24" t="s">
        <v>449</v>
      </c>
      <c r="E70" s="2"/>
      <c r="F70" s="22">
        <f>F71</f>
        <v>14354.199999999997</v>
      </c>
    </row>
    <row r="71" spans="1:6" ht="75" x14ac:dyDescent="0.2">
      <c r="A71" s="45" t="s">
        <v>497</v>
      </c>
      <c r="B71" s="2" t="s">
        <v>7</v>
      </c>
      <c r="C71" s="2" t="s">
        <v>15</v>
      </c>
      <c r="D71" s="24" t="s">
        <v>450</v>
      </c>
      <c r="E71" s="2"/>
      <c r="F71" s="22">
        <f>F72+F76</f>
        <v>14354.199999999997</v>
      </c>
    </row>
    <row r="72" spans="1:6" x14ac:dyDescent="0.2">
      <c r="A72" s="45" t="s">
        <v>13</v>
      </c>
      <c r="B72" s="2" t="s">
        <v>7</v>
      </c>
      <c r="C72" s="2" t="s">
        <v>15</v>
      </c>
      <c r="D72" s="24" t="s">
        <v>451</v>
      </c>
      <c r="E72" s="2"/>
      <c r="F72" s="22">
        <f>SUM(F73:F75)</f>
        <v>11955.699999999997</v>
      </c>
    </row>
    <row r="73" spans="1:6" ht="60" x14ac:dyDescent="0.2">
      <c r="A73" s="45" t="s">
        <v>84</v>
      </c>
      <c r="B73" s="2" t="s">
        <v>7</v>
      </c>
      <c r="C73" s="2" t="s">
        <v>15</v>
      </c>
      <c r="D73" s="24" t="s">
        <v>451</v>
      </c>
      <c r="E73" s="2" t="s">
        <v>80</v>
      </c>
      <c r="F73" s="22">
        <f>8453.9+852+1383.4+825.4</f>
        <v>11514.699999999999</v>
      </c>
    </row>
    <row r="74" spans="1:6" ht="30" x14ac:dyDescent="0.2">
      <c r="A74" s="45" t="s">
        <v>83</v>
      </c>
      <c r="B74" s="2" t="s">
        <v>7</v>
      </c>
      <c r="C74" s="2" t="s">
        <v>15</v>
      </c>
      <c r="D74" s="24" t="s">
        <v>451</v>
      </c>
      <c r="E74" s="2" t="s">
        <v>81</v>
      </c>
      <c r="F74" s="22">
        <f>2838.7-2398.5</f>
        <v>440.19999999999982</v>
      </c>
    </row>
    <row r="75" spans="1:6" x14ac:dyDescent="0.2">
      <c r="A75" s="45" t="s">
        <v>86</v>
      </c>
      <c r="B75" s="2" t="s">
        <v>7</v>
      </c>
      <c r="C75" s="2" t="s">
        <v>15</v>
      </c>
      <c r="D75" s="24" t="s">
        <v>451</v>
      </c>
      <c r="E75" s="2" t="s">
        <v>82</v>
      </c>
      <c r="F75" s="22">
        <v>0.8</v>
      </c>
    </row>
    <row r="76" spans="1:6" ht="30" x14ac:dyDescent="0.2">
      <c r="A76" s="45" t="s">
        <v>574</v>
      </c>
      <c r="B76" s="2" t="s">
        <v>7</v>
      </c>
      <c r="C76" s="2" t="s">
        <v>15</v>
      </c>
      <c r="D76" s="24" t="s">
        <v>559</v>
      </c>
      <c r="E76" s="2"/>
      <c r="F76" s="22">
        <f>F77</f>
        <v>2398.5</v>
      </c>
    </row>
    <row r="77" spans="1:6" ht="30" x14ac:dyDescent="0.2">
      <c r="A77" s="45" t="s">
        <v>83</v>
      </c>
      <c r="B77" s="2" t="s">
        <v>7</v>
      </c>
      <c r="C77" s="2" t="s">
        <v>15</v>
      </c>
      <c r="D77" s="24" t="s">
        <v>559</v>
      </c>
      <c r="E77" s="2" t="s">
        <v>81</v>
      </c>
      <c r="F77" s="22">
        <v>2398.5</v>
      </c>
    </row>
    <row r="78" spans="1:6" ht="75" x14ac:dyDescent="0.2">
      <c r="A78" s="45" t="s">
        <v>379</v>
      </c>
      <c r="B78" s="2" t="s">
        <v>7</v>
      </c>
      <c r="C78" s="2" t="s">
        <v>15</v>
      </c>
      <c r="D78" s="24" t="s">
        <v>380</v>
      </c>
      <c r="E78" s="2"/>
      <c r="F78" s="22">
        <f>F79</f>
        <v>20187.300000000003</v>
      </c>
    </row>
    <row r="79" spans="1:6" ht="21" customHeight="1" x14ac:dyDescent="0.2">
      <c r="A79" s="45" t="s">
        <v>355</v>
      </c>
      <c r="B79" s="2" t="s">
        <v>7</v>
      </c>
      <c r="C79" s="2" t="s">
        <v>15</v>
      </c>
      <c r="D79" s="24" t="s">
        <v>381</v>
      </c>
      <c r="E79" s="2"/>
      <c r="F79" s="22">
        <f>F80</f>
        <v>20187.300000000003</v>
      </c>
    </row>
    <row r="80" spans="1:6" x14ac:dyDescent="0.2">
      <c r="A80" s="45" t="s">
        <v>13</v>
      </c>
      <c r="B80" s="2" t="s">
        <v>7</v>
      </c>
      <c r="C80" s="2" t="s">
        <v>15</v>
      </c>
      <c r="D80" s="24" t="s">
        <v>382</v>
      </c>
      <c r="E80" s="2"/>
      <c r="F80" s="22">
        <f>SUM(F81:F83)</f>
        <v>20187.300000000003</v>
      </c>
    </row>
    <row r="81" spans="1:6" ht="60" x14ac:dyDescent="0.2">
      <c r="A81" s="45" t="s">
        <v>84</v>
      </c>
      <c r="B81" s="2" t="s">
        <v>7</v>
      </c>
      <c r="C81" s="2" t="s">
        <v>15</v>
      </c>
      <c r="D81" s="24" t="s">
        <v>382</v>
      </c>
      <c r="E81" s="2" t="s">
        <v>80</v>
      </c>
      <c r="F81" s="22">
        <f>13387.2+1356.8+2126.2+1280.4</f>
        <v>18150.600000000002</v>
      </c>
    </row>
    <row r="82" spans="1:6" ht="30" x14ac:dyDescent="0.2">
      <c r="A82" s="45" t="s">
        <v>83</v>
      </c>
      <c r="B82" s="2" t="s">
        <v>7</v>
      </c>
      <c r="C82" s="2" t="s">
        <v>15</v>
      </c>
      <c r="D82" s="24" t="s">
        <v>382</v>
      </c>
      <c r="E82" s="2" t="s">
        <v>81</v>
      </c>
      <c r="F82" s="22">
        <f>1993.5+40.5</f>
        <v>2034</v>
      </c>
    </row>
    <row r="83" spans="1:6" x14ac:dyDescent="0.2">
      <c r="A83" s="45" t="s">
        <v>86</v>
      </c>
      <c r="B83" s="2" t="s">
        <v>7</v>
      </c>
      <c r="C83" s="2" t="s">
        <v>15</v>
      </c>
      <c r="D83" s="24" t="s">
        <v>382</v>
      </c>
      <c r="E83" s="2" t="s">
        <v>82</v>
      </c>
      <c r="F83" s="22">
        <v>2.7</v>
      </c>
    </row>
    <row r="84" spans="1:6" ht="30" x14ac:dyDescent="0.2">
      <c r="A84" s="45" t="s">
        <v>489</v>
      </c>
      <c r="B84" s="2" t="s">
        <v>7</v>
      </c>
      <c r="C84" s="2" t="s">
        <v>15</v>
      </c>
      <c r="D84" s="24" t="s">
        <v>276</v>
      </c>
      <c r="E84" s="2"/>
      <c r="F84" s="22">
        <f>F85</f>
        <v>10311.1</v>
      </c>
    </row>
    <row r="85" spans="1:6" x14ac:dyDescent="0.2">
      <c r="A85" s="3" t="s">
        <v>144</v>
      </c>
      <c r="B85" s="2" t="s">
        <v>7</v>
      </c>
      <c r="C85" s="2" t="s">
        <v>15</v>
      </c>
      <c r="D85" s="24" t="s">
        <v>277</v>
      </c>
      <c r="E85" s="2"/>
      <c r="F85" s="22">
        <f>F86</f>
        <v>10311.1</v>
      </c>
    </row>
    <row r="86" spans="1:6" ht="30" x14ac:dyDescent="0.2">
      <c r="A86" s="45" t="s">
        <v>327</v>
      </c>
      <c r="B86" s="2" t="s">
        <v>7</v>
      </c>
      <c r="C86" s="2" t="s">
        <v>15</v>
      </c>
      <c r="D86" s="24" t="s">
        <v>278</v>
      </c>
      <c r="E86" s="2"/>
      <c r="F86" s="22">
        <f>F87</f>
        <v>10311.1</v>
      </c>
    </row>
    <row r="87" spans="1:6" x14ac:dyDescent="0.2">
      <c r="A87" s="45" t="s">
        <v>13</v>
      </c>
      <c r="B87" s="2" t="s">
        <v>7</v>
      </c>
      <c r="C87" s="2" t="s">
        <v>15</v>
      </c>
      <c r="D87" s="24" t="s">
        <v>279</v>
      </c>
      <c r="E87" s="2"/>
      <c r="F87" s="22">
        <f>SUM(F88:F90)</f>
        <v>10311.1</v>
      </c>
    </row>
    <row r="88" spans="1:6" ht="60" x14ac:dyDescent="0.2">
      <c r="A88" s="45" t="s">
        <v>84</v>
      </c>
      <c r="B88" s="2" t="s">
        <v>7</v>
      </c>
      <c r="C88" s="2" t="s">
        <v>15</v>
      </c>
      <c r="D88" s="24" t="s">
        <v>279</v>
      </c>
      <c r="E88" s="2" t="s">
        <v>80</v>
      </c>
      <c r="F88" s="22">
        <f>5396.7+740.8+1173.8+524.1</f>
        <v>7835.4000000000005</v>
      </c>
    </row>
    <row r="89" spans="1:6" ht="30" x14ac:dyDescent="0.2">
      <c r="A89" s="45" t="s">
        <v>83</v>
      </c>
      <c r="B89" s="2" t="s">
        <v>7</v>
      </c>
      <c r="C89" s="2" t="s">
        <v>15</v>
      </c>
      <c r="D89" s="24" t="s">
        <v>279</v>
      </c>
      <c r="E89" s="2" t="s">
        <v>81</v>
      </c>
      <c r="F89" s="22">
        <f>2443.4+28.3</f>
        <v>2471.7000000000003</v>
      </c>
    </row>
    <row r="90" spans="1:6" x14ac:dyDescent="0.2">
      <c r="A90" s="45" t="s">
        <v>86</v>
      </c>
      <c r="B90" s="2" t="s">
        <v>7</v>
      </c>
      <c r="C90" s="2" t="s">
        <v>15</v>
      </c>
      <c r="D90" s="24" t="s">
        <v>279</v>
      </c>
      <c r="E90" s="2" t="s">
        <v>82</v>
      </c>
      <c r="F90" s="22">
        <v>4</v>
      </c>
    </row>
    <row r="91" spans="1:6" ht="30" x14ac:dyDescent="0.2">
      <c r="A91" s="45" t="s">
        <v>560</v>
      </c>
      <c r="B91" s="2" t="s">
        <v>7</v>
      </c>
      <c r="C91" s="2" t="s">
        <v>15</v>
      </c>
      <c r="D91" s="24" t="s">
        <v>538</v>
      </c>
      <c r="E91" s="2"/>
      <c r="F91" s="22">
        <f>F92</f>
        <v>18086.899999999998</v>
      </c>
    </row>
    <row r="92" spans="1:6" ht="18.75" customHeight="1" x14ac:dyDescent="0.2">
      <c r="A92" s="45" t="s">
        <v>355</v>
      </c>
      <c r="B92" s="2" t="s">
        <v>7</v>
      </c>
      <c r="C92" s="2" t="s">
        <v>15</v>
      </c>
      <c r="D92" s="24" t="s">
        <v>539</v>
      </c>
      <c r="E92" s="2"/>
      <c r="F92" s="22">
        <f>F93</f>
        <v>18086.899999999998</v>
      </c>
    </row>
    <row r="93" spans="1:6" x14ac:dyDescent="0.2">
      <c r="A93" s="45" t="s">
        <v>13</v>
      </c>
      <c r="B93" s="2" t="s">
        <v>7</v>
      </c>
      <c r="C93" s="2" t="s">
        <v>15</v>
      </c>
      <c r="D93" s="24" t="s">
        <v>540</v>
      </c>
      <c r="E93" s="2"/>
      <c r="F93" s="22">
        <f>SUM(F94:F96)</f>
        <v>18086.899999999998</v>
      </c>
    </row>
    <row r="94" spans="1:6" ht="60" x14ac:dyDescent="0.2">
      <c r="A94" s="45" t="s">
        <v>84</v>
      </c>
      <c r="B94" s="2" t="s">
        <v>7</v>
      </c>
      <c r="C94" s="2" t="s">
        <v>15</v>
      </c>
      <c r="D94" s="24" t="s">
        <v>540</v>
      </c>
      <c r="E94" s="2" t="s">
        <v>80</v>
      </c>
      <c r="F94" s="22">
        <f>12736.8+1258.4+1970.4+93.6</f>
        <v>16059.199999999999</v>
      </c>
    </row>
    <row r="95" spans="1:6" ht="30" x14ac:dyDescent="0.2">
      <c r="A95" s="45" t="s">
        <v>83</v>
      </c>
      <c r="B95" s="2" t="s">
        <v>7</v>
      </c>
      <c r="C95" s="2" t="s">
        <v>15</v>
      </c>
      <c r="D95" s="24" t="s">
        <v>540</v>
      </c>
      <c r="E95" s="2" t="s">
        <v>81</v>
      </c>
      <c r="F95" s="22">
        <f>2021.9+4.3</f>
        <v>2026.2</v>
      </c>
    </row>
    <row r="96" spans="1:6" x14ac:dyDescent="0.2">
      <c r="A96" s="45" t="s">
        <v>86</v>
      </c>
      <c r="B96" s="2" t="s">
        <v>7</v>
      </c>
      <c r="C96" s="2" t="s">
        <v>15</v>
      </c>
      <c r="D96" s="24" t="s">
        <v>540</v>
      </c>
      <c r="E96" s="2" t="s">
        <v>82</v>
      </c>
      <c r="F96" s="22">
        <v>1.5</v>
      </c>
    </row>
    <row r="97" spans="1:6" ht="30" x14ac:dyDescent="0.2">
      <c r="A97" s="45" t="s">
        <v>490</v>
      </c>
      <c r="B97" s="2" t="s">
        <v>7</v>
      </c>
      <c r="C97" s="2" t="s">
        <v>15</v>
      </c>
      <c r="D97" s="24" t="s">
        <v>280</v>
      </c>
      <c r="E97" s="2"/>
      <c r="F97" s="22">
        <f>F98</f>
        <v>10058.800000000001</v>
      </c>
    </row>
    <row r="98" spans="1:6" ht="28.5" customHeight="1" x14ac:dyDescent="0.2">
      <c r="A98" s="44" t="s">
        <v>145</v>
      </c>
      <c r="B98" s="2" t="s">
        <v>7</v>
      </c>
      <c r="C98" s="2" t="s">
        <v>15</v>
      </c>
      <c r="D98" s="24" t="s">
        <v>281</v>
      </c>
      <c r="E98" s="2"/>
      <c r="F98" s="22">
        <f>F99</f>
        <v>10058.800000000001</v>
      </c>
    </row>
    <row r="99" spans="1:6" ht="30" x14ac:dyDescent="0.2">
      <c r="A99" s="45" t="s">
        <v>326</v>
      </c>
      <c r="B99" s="2" t="s">
        <v>7</v>
      </c>
      <c r="C99" s="2" t="s">
        <v>15</v>
      </c>
      <c r="D99" s="24" t="s">
        <v>282</v>
      </c>
      <c r="E99" s="2"/>
      <c r="F99" s="22">
        <f>F100</f>
        <v>10058.800000000001</v>
      </c>
    </row>
    <row r="100" spans="1:6" x14ac:dyDescent="0.2">
      <c r="A100" s="45" t="s">
        <v>13</v>
      </c>
      <c r="B100" s="2" t="s">
        <v>7</v>
      </c>
      <c r="C100" s="2" t="s">
        <v>15</v>
      </c>
      <c r="D100" s="24" t="s">
        <v>283</v>
      </c>
      <c r="E100" s="2"/>
      <c r="F100" s="22">
        <f>SUM(F101:F103)</f>
        <v>10058.800000000001</v>
      </c>
    </row>
    <row r="101" spans="1:6" ht="60" x14ac:dyDescent="0.2">
      <c r="A101" s="45" t="s">
        <v>84</v>
      </c>
      <c r="B101" s="2" t="s">
        <v>7</v>
      </c>
      <c r="C101" s="2" t="s">
        <v>15</v>
      </c>
      <c r="D101" s="24" t="s">
        <v>283</v>
      </c>
      <c r="E101" s="2" t="s">
        <v>80</v>
      </c>
      <c r="F101" s="22">
        <f>6168.3+315.1+623.6+966+60.1</f>
        <v>8133.1000000000013</v>
      </c>
    </row>
    <row r="102" spans="1:6" ht="30" x14ac:dyDescent="0.2">
      <c r="A102" s="45" t="s">
        <v>83</v>
      </c>
      <c r="B102" s="2" t="s">
        <v>7</v>
      </c>
      <c r="C102" s="2" t="s">
        <v>15</v>
      </c>
      <c r="D102" s="24" t="s">
        <v>283</v>
      </c>
      <c r="E102" s="2" t="s">
        <v>81</v>
      </c>
      <c r="F102" s="22">
        <f>1418.4+505.7</f>
        <v>1924.1000000000001</v>
      </c>
    </row>
    <row r="103" spans="1:6" x14ac:dyDescent="0.2">
      <c r="A103" s="45" t="s">
        <v>86</v>
      </c>
      <c r="B103" s="2" t="s">
        <v>7</v>
      </c>
      <c r="C103" s="2" t="s">
        <v>15</v>
      </c>
      <c r="D103" s="24" t="s">
        <v>283</v>
      </c>
      <c r="E103" s="2" t="s">
        <v>82</v>
      </c>
      <c r="F103" s="22">
        <v>1.6</v>
      </c>
    </row>
    <row r="104" spans="1:6" x14ac:dyDescent="0.2">
      <c r="A104" s="12" t="s">
        <v>536</v>
      </c>
      <c r="B104" s="13" t="s">
        <v>7</v>
      </c>
      <c r="C104" s="13" t="s">
        <v>34</v>
      </c>
      <c r="D104" s="13"/>
      <c r="E104" s="13"/>
      <c r="F104" s="21">
        <f>F105</f>
        <v>4851.3</v>
      </c>
    </row>
    <row r="105" spans="1:6" x14ac:dyDescent="0.2">
      <c r="A105" s="48" t="s">
        <v>95</v>
      </c>
      <c r="B105" s="49" t="s">
        <v>7</v>
      </c>
      <c r="C105" s="49" t="s">
        <v>34</v>
      </c>
      <c r="D105" s="49" t="s">
        <v>102</v>
      </c>
      <c r="E105" s="24"/>
      <c r="F105" s="43">
        <f>F106</f>
        <v>4851.3</v>
      </c>
    </row>
    <row r="106" spans="1:6" ht="45" x14ac:dyDescent="0.2">
      <c r="A106" s="1" t="s">
        <v>537</v>
      </c>
      <c r="B106" s="2" t="s">
        <v>7</v>
      </c>
      <c r="C106" s="2" t="s">
        <v>34</v>
      </c>
      <c r="D106" s="49" t="s">
        <v>535</v>
      </c>
      <c r="E106" s="2"/>
      <c r="F106" s="22">
        <f>F107</f>
        <v>4851.3</v>
      </c>
    </row>
    <row r="107" spans="1:6" ht="30" x14ac:dyDescent="0.2">
      <c r="A107" s="45" t="s">
        <v>83</v>
      </c>
      <c r="B107" s="2" t="s">
        <v>7</v>
      </c>
      <c r="C107" s="2" t="s">
        <v>34</v>
      </c>
      <c r="D107" s="49" t="s">
        <v>535</v>
      </c>
      <c r="E107" s="2" t="s">
        <v>81</v>
      </c>
      <c r="F107" s="22">
        <v>4851.3</v>
      </c>
    </row>
    <row r="108" spans="1:6" s="17" customFormat="1" ht="45" customHeight="1" x14ac:dyDescent="0.2">
      <c r="A108" s="12" t="s">
        <v>16</v>
      </c>
      <c r="B108" s="13" t="s">
        <v>7</v>
      </c>
      <c r="C108" s="13" t="s">
        <v>17</v>
      </c>
      <c r="D108" s="13"/>
      <c r="E108" s="13"/>
      <c r="F108" s="21">
        <f>F109</f>
        <v>70660.7</v>
      </c>
    </row>
    <row r="109" spans="1:6" s="29" customFormat="1" ht="18" customHeight="1" x14ac:dyDescent="0.2">
      <c r="A109" s="48" t="s">
        <v>95</v>
      </c>
      <c r="B109" s="49" t="s">
        <v>7</v>
      </c>
      <c r="C109" s="49" t="s">
        <v>17</v>
      </c>
      <c r="D109" s="49" t="s">
        <v>102</v>
      </c>
      <c r="E109" s="24"/>
      <c r="F109" s="43">
        <f>F110</f>
        <v>70660.7</v>
      </c>
    </row>
    <row r="110" spans="1:6" x14ac:dyDescent="0.2">
      <c r="A110" s="1" t="s">
        <v>13</v>
      </c>
      <c r="B110" s="2" t="s">
        <v>7</v>
      </c>
      <c r="C110" s="2" t="s">
        <v>17</v>
      </c>
      <c r="D110" s="49" t="s">
        <v>103</v>
      </c>
      <c r="E110" s="2"/>
      <c r="F110" s="22">
        <f>SUM(F111:F113)</f>
        <v>70660.7</v>
      </c>
    </row>
    <row r="111" spans="1:6" ht="60" x14ac:dyDescent="0.2">
      <c r="A111" s="45" t="s">
        <v>84</v>
      </c>
      <c r="B111" s="2" t="s">
        <v>7</v>
      </c>
      <c r="C111" s="2" t="s">
        <v>17</v>
      </c>
      <c r="D111" s="49" t="s">
        <v>103</v>
      </c>
      <c r="E111" s="2" t="s">
        <v>80</v>
      </c>
      <c r="F111" s="22">
        <f>49539.3+5011.2+7861+4757.3</f>
        <v>67168.800000000003</v>
      </c>
    </row>
    <row r="112" spans="1:6" ht="30" x14ac:dyDescent="0.2">
      <c r="A112" s="45" t="s">
        <v>83</v>
      </c>
      <c r="B112" s="2" t="s">
        <v>7</v>
      </c>
      <c r="C112" s="2" t="s">
        <v>17</v>
      </c>
      <c r="D112" s="49" t="s">
        <v>103</v>
      </c>
      <c r="E112" s="2" t="s">
        <v>81</v>
      </c>
      <c r="F112" s="22">
        <f>3383.2+3.7</f>
        <v>3386.8999999999996</v>
      </c>
    </row>
    <row r="113" spans="1:6" x14ac:dyDescent="0.2">
      <c r="A113" s="45" t="s">
        <v>86</v>
      </c>
      <c r="B113" s="2" t="s">
        <v>7</v>
      </c>
      <c r="C113" s="2" t="s">
        <v>17</v>
      </c>
      <c r="D113" s="49" t="s">
        <v>103</v>
      </c>
      <c r="E113" s="2" t="s">
        <v>82</v>
      </c>
      <c r="F113" s="22">
        <f>25+80</f>
        <v>105</v>
      </c>
    </row>
    <row r="114" spans="1:6" x14ac:dyDescent="0.2">
      <c r="A114" s="12" t="s">
        <v>18</v>
      </c>
      <c r="B114" s="13" t="s">
        <v>7</v>
      </c>
      <c r="C114" s="13" t="s">
        <v>19</v>
      </c>
      <c r="D114" s="2"/>
      <c r="E114" s="2"/>
      <c r="F114" s="21">
        <f>F115</f>
        <v>8663</v>
      </c>
    </row>
    <row r="115" spans="1:6" x14ac:dyDescent="0.2">
      <c r="A115" s="48" t="s">
        <v>95</v>
      </c>
      <c r="B115" s="49" t="s">
        <v>7</v>
      </c>
      <c r="C115" s="49" t="s">
        <v>19</v>
      </c>
      <c r="D115" s="49" t="s">
        <v>102</v>
      </c>
      <c r="E115" s="24"/>
      <c r="F115" s="43">
        <f>F116</f>
        <v>8663</v>
      </c>
    </row>
    <row r="116" spans="1:6" x14ac:dyDescent="0.2">
      <c r="A116" s="1" t="s">
        <v>13</v>
      </c>
      <c r="B116" s="2" t="s">
        <v>7</v>
      </c>
      <c r="C116" s="49" t="s">
        <v>19</v>
      </c>
      <c r="D116" s="49" t="s">
        <v>103</v>
      </c>
      <c r="E116" s="2"/>
      <c r="F116" s="22">
        <f>SUM(F117:F119)</f>
        <v>8663</v>
      </c>
    </row>
    <row r="117" spans="1:6" ht="60" x14ac:dyDescent="0.2">
      <c r="A117" s="45" t="s">
        <v>84</v>
      </c>
      <c r="B117" s="2" t="s">
        <v>7</v>
      </c>
      <c r="C117" s="49" t="s">
        <v>19</v>
      </c>
      <c r="D117" s="49" t="s">
        <v>103</v>
      </c>
      <c r="E117" s="2" t="s">
        <v>80</v>
      </c>
      <c r="F117" s="22">
        <f>4106.8+435.4+676+409.6</f>
        <v>5627.8</v>
      </c>
    </row>
    <row r="118" spans="1:6" ht="30" x14ac:dyDescent="0.2">
      <c r="A118" s="45" t="s">
        <v>83</v>
      </c>
      <c r="B118" s="2" t="s">
        <v>7</v>
      </c>
      <c r="C118" s="49" t="s">
        <v>19</v>
      </c>
      <c r="D118" s="49" t="s">
        <v>103</v>
      </c>
      <c r="E118" s="2" t="s">
        <v>81</v>
      </c>
      <c r="F118" s="22">
        <f>2107.5+927</f>
        <v>3034.5</v>
      </c>
    </row>
    <row r="119" spans="1:6" x14ac:dyDescent="0.2">
      <c r="A119" s="45" t="s">
        <v>86</v>
      </c>
      <c r="B119" s="2" t="s">
        <v>7</v>
      </c>
      <c r="C119" s="49" t="s">
        <v>19</v>
      </c>
      <c r="D119" s="49" t="s">
        <v>103</v>
      </c>
      <c r="E119" s="2" t="s">
        <v>82</v>
      </c>
      <c r="F119" s="22">
        <v>0.7</v>
      </c>
    </row>
    <row r="120" spans="1:6" x14ac:dyDescent="0.2">
      <c r="A120" s="12" t="s">
        <v>58</v>
      </c>
      <c r="B120" s="13" t="s">
        <v>7</v>
      </c>
      <c r="C120" s="13" t="s">
        <v>21</v>
      </c>
      <c r="D120" s="2"/>
      <c r="E120" s="2"/>
      <c r="F120" s="21">
        <f>F121</f>
        <v>109061.2</v>
      </c>
    </row>
    <row r="121" spans="1:6" x14ac:dyDescent="0.2">
      <c r="A121" s="1" t="s">
        <v>95</v>
      </c>
      <c r="B121" s="2" t="s">
        <v>7</v>
      </c>
      <c r="C121" s="2" t="s">
        <v>21</v>
      </c>
      <c r="D121" s="49" t="s">
        <v>102</v>
      </c>
      <c r="E121" s="2"/>
      <c r="F121" s="22">
        <f>F122</f>
        <v>109061.2</v>
      </c>
    </row>
    <row r="122" spans="1:6" x14ac:dyDescent="0.2">
      <c r="A122" s="45" t="s">
        <v>59</v>
      </c>
      <c r="B122" s="2" t="s">
        <v>7</v>
      </c>
      <c r="C122" s="2" t="s">
        <v>21</v>
      </c>
      <c r="D122" s="2" t="s">
        <v>284</v>
      </c>
      <c r="E122" s="2"/>
      <c r="F122" s="22">
        <f>F123</f>
        <v>109061.2</v>
      </c>
    </row>
    <row r="123" spans="1:6" x14ac:dyDescent="0.2">
      <c r="A123" s="45" t="s">
        <v>86</v>
      </c>
      <c r="B123" s="2" t="s">
        <v>7</v>
      </c>
      <c r="C123" s="2" t="s">
        <v>21</v>
      </c>
      <c r="D123" s="2" t="s">
        <v>284</v>
      </c>
      <c r="E123" s="2" t="s">
        <v>82</v>
      </c>
      <c r="F123" s="22">
        <f>112543-3299.7-182.1</f>
        <v>109061.2</v>
      </c>
    </row>
    <row r="124" spans="1:6" x14ac:dyDescent="0.2">
      <c r="A124" s="12" t="s">
        <v>24</v>
      </c>
      <c r="B124" s="13" t="s">
        <v>7</v>
      </c>
      <c r="C124" s="13" t="s">
        <v>52</v>
      </c>
      <c r="D124" s="2"/>
      <c r="E124" s="2"/>
      <c r="F124" s="62">
        <f>F125+F136+F141+F239+F247+F243+F255+F272+F280+F284+F296+F259+F289+F251+F131</f>
        <v>1520529.7399999995</v>
      </c>
    </row>
    <row r="125" spans="1:6" s="29" customFormat="1" ht="30" x14ac:dyDescent="0.2">
      <c r="A125" s="28" t="s">
        <v>96</v>
      </c>
      <c r="B125" s="24" t="s">
        <v>7</v>
      </c>
      <c r="C125" s="24" t="s">
        <v>52</v>
      </c>
      <c r="D125" s="24" t="s">
        <v>106</v>
      </c>
      <c r="E125" s="24"/>
      <c r="F125" s="43">
        <f>F126</f>
        <v>14435.2</v>
      </c>
    </row>
    <row r="126" spans="1:6" s="29" customFormat="1" ht="30" x14ac:dyDescent="0.2">
      <c r="A126" s="28" t="s">
        <v>108</v>
      </c>
      <c r="B126" s="24" t="s">
        <v>7</v>
      </c>
      <c r="C126" s="24" t="s">
        <v>52</v>
      </c>
      <c r="D126" s="24" t="s">
        <v>107</v>
      </c>
      <c r="E126" s="24"/>
      <c r="F126" s="43">
        <f>F127</f>
        <v>14435.2</v>
      </c>
    </row>
    <row r="127" spans="1:6" s="29" customFormat="1" ht="45" x14ac:dyDescent="0.2">
      <c r="A127" s="28" t="s">
        <v>109</v>
      </c>
      <c r="B127" s="24" t="s">
        <v>7</v>
      </c>
      <c r="C127" s="24" t="s">
        <v>52</v>
      </c>
      <c r="D127" s="24" t="s">
        <v>110</v>
      </c>
      <c r="E127" s="24"/>
      <c r="F127" s="43">
        <f>F128</f>
        <v>14435.2</v>
      </c>
    </row>
    <row r="128" spans="1:6" ht="30" x14ac:dyDescent="0.2">
      <c r="A128" s="28" t="s">
        <v>111</v>
      </c>
      <c r="B128" s="24" t="s">
        <v>7</v>
      </c>
      <c r="C128" s="24" t="s">
        <v>52</v>
      </c>
      <c r="D128" s="24" t="s">
        <v>112</v>
      </c>
      <c r="E128" s="24"/>
      <c r="F128" s="43">
        <f>SUM(F129:F130)</f>
        <v>14435.2</v>
      </c>
    </row>
    <row r="129" spans="1:6" ht="60" x14ac:dyDescent="0.2">
      <c r="A129" s="45" t="s">
        <v>84</v>
      </c>
      <c r="B129" s="24" t="s">
        <v>7</v>
      </c>
      <c r="C129" s="24" t="s">
        <v>52</v>
      </c>
      <c r="D129" s="24" t="s">
        <v>112</v>
      </c>
      <c r="E129" s="24" t="s">
        <v>80</v>
      </c>
      <c r="F129" s="43">
        <f>11513.7+1802.8</f>
        <v>13316.5</v>
      </c>
    </row>
    <row r="130" spans="1:6" ht="30" x14ac:dyDescent="0.2">
      <c r="A130" s="45" t="s">
        <v>83</v>
      </c>
      <c r="B130" s="24" t="s">
        <v>7</v>
      </c>
      <c r="C130" s="24" t="s">
        <v>52</v>
      </c>
      <c r="D130" s="24" t="s">
        <v>112</v>
      </c>
      <c r="E130" s="24" t="s">
        <v>81</v>
      </c>
      <c r="F130" s="43">
        <v>1118.7</v>
      </c>
    </row>
    <row r="131" spans="1:6" ht="45" x14ac:dyDescent="0.2">
      <c r="A131" s="45" t="s">
        <v>670</v>
      </c>
      <c r="B131" s="24" t="s">
        <v>7</v>
      </c>
      <c r="C131" s="24" t="s">
        <v>52</v>
      </c>
      <c r="D131" s="24" t="s">
        <v>663</v>
      </c>
      <c r="E131" s="24"/>
      <c r="F131" s="43">
        <f>F132</f>
        <v>21182.9</v>
      </c>
    </row>
    <row r="132" spans="1:6" ht="33" customHeight="1" x14ac:dyDescent="0.2">
      <c r="A132" s="45" t="s">
        <v>669</v>
      </c>
      <c r="B132" s="24" t="s">
        <v>7</v>
      </c>
      <c r="C132" s="24" t="s">
        <v>52</v>
      </c>
      <c r="D132" s="24" t="s">
        <v>664</v>
      </c>
      <c r="E132" s="24"/>
      <c r="F132" s="43">
        <f>F133</f>
        <v>21182.9</v>
      </c>
    </row>
    <row r="133" spans="1:6" ht="45" x14ac:dyDescent="0.2">
      <c r="A133" s="45" t="s">
        <v>668</v>
      </c>
      <c r="B133" s="24" t="s">
        <v>7</v>
      </c>
      <c r="C133" s="24" t="s">
        <v>52</v>
      </c>
      <c r="D133" s="24" t="s">
        <v>665</v>
      </c>
      <c r="E133" s="24"/>
      <c r="F133" s="43">
        <f>F134</f>
        <v>21182.9</v>
      </c>
    </row>
    <row r="134" spans="1:6" ht="29.25" customHeight="1" x14ac:dyDescent="0.2">
      <c r="A134" s="45" t="s">
        <v>667</v>
      </c>
      <c r="B134" s="24" t="s">
        <v>7</v>
      </c>
      <c r="C134" s="24" t="s">
        <v>52</v>
      </c>
      <c r="D134" s="24" t="s">
        <v>666</v>
      </c>
      <c r="E134" s="24"/>
      <c r="F134" s="43">
        <f>F135</f>
        <v>21182.9</v>
      </c>
    </row>
    <row r="135" spans="1:6" x14ac:dyDescent="0.2">
      <c r="A135" s="45" t="s">
        <v>86</v>
      </c>
      <c r="B135" s="24" t="s">
        <v>7</v>
      </c>
      <c r="C135" s="24" t="s">
        <v>52</v>
      </c>
      <c r="D135" s="24" t="s">
        <v>666</v>
      </c>
      <c r="E135" s="24" t="s">
        <v>82</v>
      </c>
      <c r="F135" s="43">
        <f>12735.9+8447</f>
        <v>21182.9</v>
      </c>
    </row>
    <row r="136" spans="1:6" ht="30" x14ac:dyDescent="0.2">
      <c r="A136" s="45" t="s">
        <v>491</v>
      </c>
      <c r="B136" s="24" t="s">
        <v>7</v>
      </c>
      <c r="C136" s="24" t="s">
        <v>52</v>
      </c>
      <c r="D136" s="23" t="s">
        <v>137</v>
      </c>
      <c r="E136" s="23"/>
      <c r="F136" s="43">
        <f>F137</f>
        <v>523.1</v>
      </c>
    </row>
    <row r="137" spans="1:6" x14ac:dyDescent="0.2">
      <c r="A137" s="45" t="s">
        <v>138</v>
      </c>
      <c r="B137" s="24" t="s">
        <v>7</v>
      </c>
      <c r="C137" s="24" t="s">
        <v>52</v>
      </c>
      <c r="D137" s="23" t="s">
        <v>139</v>
      </c>
      <c r="E137" s="23"/>
      <c r="F137" s="43">
        <f>F138</f>
        <v>523.1</v>
      </c>
    </row>
    <row r="138" spans="1:6" ht="30" x14ac:dyDescent="0.2">
      <c r="A138" s="45" t="s">
        <v>251</v>
      </c>
      <c r="B138" s="24" t="s">
        <v>7</v>
      </c>
      <c r="C138" s="24" t="s">
        <v>52</v>
      </c>
      <c r="D138" s="23" t="s">
        <v>140</v>
      </c>
      <c r="E138" s="23"/>
      <c r="F138" s="43">
        <f>F139</f>
        <v>523.1</v>
      </c>
    </row>
    <row r="139" spans="1:6" x14ac:dyDescent="0.2">
      <c r="A139" s="45" t="s">
        <v>74</v>
      </c>
      <c r="B139" s="24" t="s">
        <v>7</v>
      </c>
      <c r="C139" s="24" t="s">
        <v>52</v>
      </c>
      <c r="D139" s="23" t="s">
        <v>146</v>
      </c>
      <c r="E139" s="23"/>
      <c r="F139" s="43">
        <f>F140</f>
        <v>523.1</v>
      </c>
    </row>
    <row r="140" spans="1:6" x14ac:dyDescent="0.2">
      <c r="A140" s="45" t="s">
        <v>86</v>
      </c>
      <c r="B140" s="24" t="s">
        <v>7</v>
      </c>
      <c r="C140" s="24" t="s">
        <v>52</v>
      </c>
      <c r="D140" s="23" t="s">
        <v>146</v>
      </c>
      <c r="E140" s="23" t="s">
        <v>82</v>
      </c>
      <c r="F140" s="43">
        <v>523.1</v>
      </c>
    </row>
    <row r="141" spans="1:6" x14ac:dyDescent="0.2">
      <c r="A141" s="1" t="s">
        <v>95</v>
      </c>
      <c r="B141" s="24" t="s">
        <v>7</v>
      </c>
      <c r="C141" s="24" t="s">
        <v>52</v>
      </c>
      <c r="D141" s="49" t="s">
        <v>102</v>
      </c>
      <c r="E141" s="2"/>
      <c r="F141" s="61">
        <f>F142+F146+F148+F151+F154+F157+F159+F161+F164+F170+F174+F176+F168</f>
        <v>1302781.4399999997</v>
      </c>
    </row>
    <row r="142" spans="1:6" x14ac:dyDescent="0.2">
      <c r="A142" s="42" t="s">
        <v>13</v>
      </c>
      <c r="B142" s="24" t="s">
        <v>7</v>
      </c>
      <c r="C142" s="24" t="s">
        <v>52</v>
      </c>
      <c r="D142" s="49" t="s">
        <v>103</v>
      </c>
      <c r="E142" s="2"/>
      <c r="F142" s="22">
        <f>SUM(F143:F145)</f>
        <v>111606.8</v>
      </c>
    </row>
    <row r="143" spans="1:6" ht="60" x14ac:dyDescent="0.2">
      <c r="A143" s="45" t="s">
        <v>84</v>
      </c>
      <c r="B143" s="24" t="s">
        <v>7</v>
      </c>
      <c r="C143" s="24" t="s">
        <v>52</v>
      </c>
      <c r="D143" s="49" t="s">
        <v>103</v>
      </c>
      <c r="E143" s="2" t="s">
        <v>80</v>
      </c>
      <c r="F143" s="22">
        <f>69182+6881.8+10979+6652.8</f>
        <v>93695.6</v>
      </c>
    </row>
    <row r="144" spans="1:6" ht="30" x14ac:dyDescent="0.2">
      <c r="A144" s="45" t="s">
        <v>83</v>
      </c>
      <c r="B144" s="24" t="s">
        <v>7</v>
      </c>
      <c r="C144" s="24" t="s">
        <v>52</v>
      </c>
      <c r="D144" s="49" t="s">
        <v>103</v>
      </c>
      <c r="E144" s="2" t="s">
        <v>81</v>
      </c>
      <c r="F144" s="22">
        <f>17164.8+4.3+667.8</f>
        <v>17836.899999999998</v>
      </c>
    </row>
    <row r="145" spans="1:6" x14ac:dyDescent="0.2">
      <c r="A145" s="45" t="s">
        <v>86</v>
      </c>
      <c r="B145" s="24" t="s">
        <v>7</v>
      </c>
      <c r="C145" s="24" t="s">
        <v>52</v>
      </c>
      <c r="D145" s="49" t="s">
        <v>103</v>
      </c>
      <c r="E145" s="2" t="s">
        <v>82</v>
      </c>
      <c r="F145" s="22">
        <v>74.3</v>
      </c>
    </row>
    <row r="146" spans="1:6" x14ac:dyDescent="0.2">
      <c r="A146" s="45" t="s">
        <v>74</v>
      </c>
      <c r="B146" s="24" t="s">
        <v>7</v>
      </c>
      <c r="C146" s="24" t="s">
        <v>52</v>
      </c>
      <c r="D146" s="49" t="s">
        <v>105</v>
      </c>
      <c r="E146" s="2"/>
      <c r="F146" s="22">
        <f>F147</f>
        <v>19645.400000000001</v>
      </c>
    </row>
    <row r="147" spans="1:6" x14ac:dyDescent="0.2">
      <c r="A147" s="45" t="s">
        <v>86</v>
      </c>
      <c r="B147" s="24" t="s">
        <v>7</v>
      </c>
      <c r="C147" s="24" t="s">
        <v>52</v>
      </c>
      <c r="D147" s="49" t="s">
        <v>105</v>
      </c>
      <c r="E147" s="2" t="s">
        <v>82</v>
      </c>
      <c r="F147" s="22">
        <v>19645.400000000001</v>
      </c>
    </row>
    <row r="148" spans="1:6" ht="45" x14ac:dyDescent="0.2">
      <c r="A148" s="42" t="s">
        <v>66</v>
      </c>
      <c r="B148" s="24" t="s">
        <v>7</v>
      </c>
      <c r="C148" s="24" t="s">
        <v>52</v>
      </c>
      <c r="D148" s="24" t="s">
        <v>116</v>
      </c>
      <c r="E148" s="2"/>
      <c r="F148" s="22">
        <f>SUM(F149:F150)</f>
        <v>9015.2999999999993</v>
      </c>
    </row>
    <row r="149" spans="1:6" ht="60" x14ac:dyDescent="0.2">
      <c r="A149" s="45" t="s">
        <v>84</v>
      </c>
      <c r="B149" s="24" t="s">
        <v>7</v>
      </c>
      <c r="C149" s="24" t="s">
        <v>52</v>
      </c>
      <c r="D149" s="24" t="s">
        <v>116</v>
      </c>
      <c r="E149" s="2" t="s">
        <v>80</v>
      </c>
      <c r="F149" s="22">
        <f>6592.9+1691.3+141.6</f>
        <v>8425.7999999999993</v>
      </c>
    </row>
    <row r="150" spans="1:6" ht="30" x14ac:dyDescent="0.2">
      <c r="A150" s="45" t="s">
        <v>83</v>
      </c>
      <c r="B150" s="24" t="s">
        <v>7</v>
      </c>
      <c r="C150" s="24" t="s">
        <v>52</v>
      </c>
      <c r="D150" s="24" t="s">
        <v>116</v>
      </c>
      <c r="E150" s="2" t="s">
        <v>81</v>
      </c>
      <c r="F150" s="22">
        <f>731.1-141.6</f>
        <v>589.5</v>
      </c>
    </row>
    <row r="151" spans="1:6" ht="30" x14ac:dyDescent="0.2">
      <c r="A151" s="42" t="s">
        <v>60</v>
      </c>
      <c r="B151" s="24" t="s">
        <v>7</v>
      </c>
      <c r="C151" s="24" t="s">
        <v>52</v>
      </c>
      <c r="D151" s="24" t="s">
        <v>117</v>
      </c>
      <c r="E151" s="2"/>
      <c r="F151" s="22">
        <f>SUM(F152:F153)</f>
        <v>5675.98</v>
      </c>
    </row>
    <row r="152" spans="1:6" ht="60" x14ac:dyDescent="0.2">
      <c r="A152" s="45" t="s">
        <v>84</v>
      </c>
      <c r="B152" s="24" t="s">
        <v>7</v>
      </c>
      <c r="C152" s="24" t="s">
        <v>52</v>
      </c>
      <c r="D152" s="24" t="s">
        <v>117</v>
      </c>
      <c r="E152" s="2" t="s">
        <v>80</v>
      </c>
      <c r="F152" s="22">
        <f>3908.1+1387.88</f>
        <v>5295.98</v>
      </c>
    </row>
    <row r="153" spans="1:6" ht="30" x14ac:dyDescent="0.2">
      <c r="A153" s="45" t="s">
        <v>83</v>
      </c>
      <c r="B153" s="24" t="s">
        <v>7</v>
      </c>
      <c r="C153" s="24" t="s">
        <v>52</v>
      </c>
      <c r="D153" s="24" t="s">
        <v>117</v>
      </c>
      <c r="E153" s="2" t="s">
        <v>81</v>
      </c>
      <c r="F153" s="22">
        <v>380</v>
      </c>
    </row>
    <row r="154" spans="1:6" ht="60" x14ac:dyDescent="0.2">
      <c r="A154" s="42" t="s">
        <v>61</v>
      </c>
      <c r="B154" s="24" t="s">
        <v>7</v>
      </c>
      <c r="C154" s="24" t="s">
        <v>52</v>
      </c>
      <c r="D154" s="24" t="s">
        <v>118</v>
      </c>
      <c r="E154" s="2"/>
      <c r="F154" s="22">
        <f>SUM(F155:F156)</f>
        <v>7330.8</v>
      </c>
    </row>
    <row r="155" spans="1:6" ht="60" x14ac:dyDescent="0.2">
      <c r="A155" s="45" t="s">
        <v>84</v>
      </c>
      <c r="B155" s="24" t="s">
        <v>7</v>
      </c>
      <c r="C155" s="24" t="s">
        <v>52</v>
      </c>
      <c r="D155" s="24" t="s">
        <v>118</v>
      </c>
      <c r="E155" s="2" t="s">
        <v>80</v>
      </c>
      <c r="F155" s="22">
        <f>5842.5+529.1</f>
        <v>6371.6</v>
      </c>
    </row>
    <row r="156" spans="1:6" ht="30" x14ac:dyDescent="0.2">
      <c r="A156" s="45" t="s">
        <v>83</v>
      </c>
      <c r="B156" s="24" t="s">
        <v>7</v>
      </c>
      <c r="C156" s="24" t="s">
        <v>52</v>
      </c>
      <c r="D156" s="24" t="s">
        <v>118</v>
      </c>
      <c r="E156" s="2" t="s">
        <v>81</v>
      </c>
      <c r="F156" s="22">
        <f>932.9+26.3</f>
        <v>959.19999999999993</v>
      </c>
    </row>
    <row r="157" spans="1:6" x14ac:dyDescent="0.2">
      <c r="A157" s="45" t="s">
        <v>62</v>
      </c>
      <c r="B157" s="24" t="s">
        <v>7</v>
      </c>
      <c r="C157" s="24" t="s">
        <v>52</v>
      </c>
      <c r="D157" s="24" t="s">
        <v>115</v>
      </c>
      <c r="E157" s="2"/>
      <c r="F157" s="16">
        <f>F158</f>
        <v>191.7</v>
      </c>
    </row>
    <row r="158" spans="1:6" ht="30" x14ac:dyDescent="0.2">
      <c r="A158" s="45" t="s">
        <v>83</v>
      </c>
      <c r="B158" s="24" t="s">
        <v>7</v>
      </c>
      <c r="C158" s="24" t="s">
        <v>52</v>
      </c>
      <c r="D158" s="24" t="s">
        <v>115</v>
      </c>
      <c r="E158" s="2" t="s">
        <v>81</v>
      </c>
      <c r="F158" s="16">
        <v>191.7</v>
      </c>
    </row>
    <row r="159" spans="1:6" ht="45" x14ac:dyDescent="0.2">
      <c r="A159" s="42" t="s">
        <v>63</v>
      </c>
      <c r="B159" s="24" t="s">
        <v>7</v>
      </c>
      <c r="C159" s="24" t="s">
        <v>52</v>
      </c>
      <c r="D159" s="24" t="s">
        <v>119</v>
      </c>
      <c r="E159" s="2"/>
      <c r="F159" s="61">
        <f>F160</f>
        <v>0.46</v>
      </c>
    </row>
    <row r="160" spans="1:6" ht="60" x14ac:dyDescent="0.2">
      <c r="A160" s="45" t="s">
        <v>84</v>
      </c>
      <c r="B160" s="24" t="s">
        <v>7</v>
      </c>
      <c r="C160" s="24" t="s">
        <v>52</v>
      </c>
      <c r="D160" s="24" t="s">
        <v>119</v>
      </c>
      <c r="E160" s="2" t="s">
        <v>80</v>
      </c>
      <c r="F160" s="61">
        <v>0.46</v>
      </c>
    </row>
    <row r="161" spans="1:6" ht="30" x14ac:dyDescent="0.2">
      <c r="A161" s="45" t="s">
        <v>332</v>
      </c>
      <c r="B161" s="24" t="s">
        <v>7</v>
      </c>
      <c r="C161" s="24" t="s">
        <v>52</v>
      </c>
      <c r="D161" s="23" t="s">
        <v>446</v>
      </c>
      <c r="E161" s="23"/>
      <c r="F161" s="43">
        <f>F162+F163</f>
        <v>8888.7999999999993</v>
      </c>
    </row>
    <row r="162" spans="1:6" ht="60" x14ac:dyDescent="0.2">
      <c r="A162" s="45" t="s">
        <v>84</v>
      </c>
      <c r="B162" s="24" t="s">
        <v>7</v>
      </c>
      <c r="C162" s="24" t="s">
        <v>52</v>
      </c>
      <c r="D162" s="23" t="s">
        <v>446</v>
      </c>
      <c r="E162" s="23" t="s">
        <v>80</v>
      </c>
      <c r="F162" s="43">
        <f>5094.9+515.6+807.2+506.8</f>
        <v>6924.5</v>
      </c>
    </row>
    <row r="163" spans="1:6" ht="30" x14ac:dyDescent="0.2">
      <c r="A163" s="45" t="s">
        <v>83</v>
      </c>
      <c r="B163" s="24" t="s">
        <v>7</v>
      </c>
      <c r="C163" s="24" t="s">
        <v>52</v>
      </c>
      <c r="D163" s="23" t="s">
        <v>446</v>
      </c>
      <c r="E163" s="23" t="s">
        <v>81</v>
      </c>
      <c r="F163" s="43">
        <f>1913.2+51.1</f>
        <v>1964.3</v>
      </c>
    </row>
    <row r="164" spans="1:6" x14ac:dyDescent="0.2">
      <c r="A164" s="28" t="s">
        <v>416</v>
      </c>
      <c r="B164" s="24" t="s">
        <v>7</v>
      </c>
      <c r="C164" s="24" t="s">
        <v>52</v>
      </c>
      <c r="D164" s="24" t="s">
        <v>417</v>
      </c>
      <c r="E164" s="24"/>
      <c r="F164" s="66">
        <f>SUM(F165:F167)</f>
        <v>53133.7</v>
      </c>
    </row>
    <row r="165" spans="1:6" ht="60" x14ac:dyDescent="0.2">
      <c r="A165" s="45" t="s">
        <v>84</v>
      </c>
      <c r="B165" s="24" t="s">
        <v>7</v>
      </c>
      <c r="C165" s="24" t="s">
        <v>52</v>
      </c>
      <c r="D165" s="24" t="s">
        <v>417</v>
      </c>
      <c r="E165" s="24" t="s">
        <v>80</v>
      </c>
      <c r="F165" s="66">
        <v>25681.7</v>
      </c>
    </row>
    <row r="166" spans="1:6" ht="30" x14ac:dyDescent="0.2">
      <c r="A166" s="45" t="s">
        <v>83</v>
      </c>
      <c r="B166" s="24" t="s">
        <v>7</v>
      </c>
      <c r="C166" s="24" t="s">
        <v>52</v>
      </c>
      <c r="D166" s="24" t="s">
        <v>417</v>
      </c>
      <c r="E166" s="24" t="s">
        <v>81</v>
      </c>
      <c r="F166" s="66">
        <v>25902</v>
      </c>
    </row>
    <row r="167" spans="1:6" x14ac:dyDescent="0.2">
      <c r="A167" s="45" t="s">
        <v>86</v>
      </c>
      <c r="B167" s="24" t="s">
        <v>7</v>
      </c>
      <c r="C167" s="24" t="s">
        <v>52</v>
      </c>
      <c r="D167" s="24" t="s">
        <v>417</v>
      </c>
      <c r="E167" s="24" t="s">
        <v>82</v>
      </c>
      <c r="F167" s="66">
        <v>1550</v>
      </c>
    </row>
    <row r="168" spans="1:6" x14ac:dyDescent="0.2">
      <c r="A168" s="45" t="s">
        <v>614</v>
      </c>
      <c r="B168" s="24" t="s">
        <v>7</v>
      </c>
      <c r="C168" s="24" t="s">
        <v>52</v>
      </c>
      <c r="D168" s="49" t="s">
        <v>617</v>
      </c>
      <c r="E168" s="2"/>
      <c r="F168" s="22">
        <f>F169</f>
        <v>77414.899999999994</v>
      </c>
    </row>
    <row r="169" spans="1:6" ht="30" x14ac:dyDescent="0.2">
      <c r="A169" s="1" t="s">
        <v>615</v>
      </c>
      <c r="B169" s="24" t="s">
        <v>7</v>
      </c>
      <c r="C169" s="24" t="s">
        <v>52</v>
      </c>
      <c r="D169" s="49" t="s">
        <v>617</v>
      </c>
      <c r="E169" s="2" t="s">
        <v>616</v>
      </c>
      <c r="F169" s="22">
        <f>24677.4+2952+30000+981+18804.5</f>
        <v>77414.899999999994</v>
      </c>
    </row>
    <row r="170" spans="1:6" ht="30" x14ac:dyDescent="0.2">
      <c r="A170" s="45" t="s">
        <v>593</v>
      </c>
      <c r="B170" s="24" t="s">
        <v>7</v>
      </c>
      <c r="C170" s="24" t="s">
        <v>52</v>
      </c>
      <c r="D170" s="24" t="s">
        <v>492</v>
      </c>
      <c r="E170" s="24"/>
      <c r="F170" s="66">
        <f>F171+F172+F173</f>
        <v>10396.6</v>
      </c>
    </row>
    <row r="171" spans="1:6" ht="60" x14ac:dyDescent="0.2">
      <c r="A171" s="45" t="s">
        <v>84</v>
      </c>
      <c r="B171" s="24" t="s">
        <v>7</v>
      </c>
      <c r="C171" s="24" t="s">
        <v>52</v>
      </c>
      <c r="D171" s="24" t="s">
        <v>492</v>
      </c>
      <c r="E171" s="24" t="s">
        <v>80</v>
      </c>
      <c r="F171" s="66">
        <f>2573.6+4137+2507</f>
        <v>9217.6</v>
      </c>
    </row>
    <row r="172" spans="1:6" ht="30" x14ac:dyDescent="0.2">
      <c r="A172" s="45" t="s">
        <v>83</v>
      </c>
      <c r="B172" s="24" t="s">
        <v>7</v>
      </c>
      <c r="C172" s="24" t="s">
        <v>52</v>
      </c>
      <c r="D172" s="24" t="s">
        <v>492</v>
      </c>
      <c r="E172" s="24" t="s">
        <v>81</v>
      </c>
      <c r="F172" s="66">
        <v>1168.2</v>
      </c>
    </row>
    <row r="173" spans="1:6" x14ac:dyDescent="0.2">
      <c r="A173" s="45" t="s">
        <v>86</v>
      </c>
      <c r="B173" s="24" t="s">
        <v>7</v>
      </c>
      <c r="C173" s="24" t="s">
        <v>52</v>
      </c>
      <c r="D173" s="24" t="s">
        <v>492</v>
      </c>
      <c r="E173" s="24" t="s">
        <v>82</v>
      </c>
      <c r="F173" s="66">
        <v>10.8</v>
      </c>
    </row>
    <row r="174" spans="1:6" x14ac:dyDescent="0.2">
      <c r="A174" s="1" t="s">
        <v>25</v>
      </c>
      <c r="B174" s="24" t="s">
        <v>7</v>
      </c>
      <c r="C174" s="24" t="s">
        <v>52</v>
      </c>
      <c r="D174" s="2" t="s">
        <v>328</v>
      </c>
      <c r="E174" s="2"/>
      <c r="F174" s="43">
        <f>F175</f>
        <v>44237.399999999994</v>
      </c>
    </row>
    <row r="175" spans="1:6" ht="30" x14ac:dyDescent="0.2">
      <c r="A175" s="1" t="s">
        <v>88</v>
      </c>
      <c r="B175" s="24" t="s">
        <v>7</v>
      </c>
      <c r="C175" s="24" t="s">
        <v>52</v>
      </c>
      <c r="D175" s="2" t="s">
        <v>328</v>
      </c>
      <c r="E175" s="2" t="s">
        <v>85</v>
      </c>
      <c r="F175" s="43">
        <f>34998.2-16011.9+4712.8+20211.8+326.5</f>
        <v>44237.399999999994</v>
      </c>
    </row>
    <row r="176" spans="1:6" ht="30" x14ac:dyDescent="0.2">
      <c r="A176" s="42" t="s">
        <v>78</v>
      </c>
      <c r="B176" s="24" t="s">
        <v>7</v>
      </c>
      <c r="C176" s="24" t="s">
        <v>52</v>
      </c>
      <c r="D176" s="2" t="s">
        <v>113</v>
      </c>
      <c r="E176" s="2"/>
      <c r="F176" s="22">
        <f>F192+F201+F208+F219+F223+F227+F177+F179+F182+F184+F187+F190+F195+F197+F199+F205+F212+F215+F236+F231+F203+F234</f>
        <v>955243.59999999986</v>
      </c>
    </row>
    <row r="177" spans="1:6" x14ac:dyDescent="0.2">
      <c r="A177" s="42" t="s">
        <v>459</v>
      </c>
      <c r="B177" s="24" t="s">
        <v>7</v>
      </c>
      <c r="C177" s="24" t="s">
        <v>52</v>
      </c>
      <c r="D177" s="2" t="s">
        <v>454</v>
      </c>
      <c r="E177" s="2"/>
      <c r="F177" s="22">
        <f>F178</f>
        <v>107000</v>
      </c>
    </row>
    <row r="178" spans="1:6" x14ac:dyDescent="0.2">
      <c r="A178" s="45" t="s">
        <v>86</v>
      </c>
      <c r="B178" s="24" t="s">
        <v>7</v>
      </c>
      <c r="C178" s="24" t="s">
        <v>52</v>
      </c>
      <c r="D178" s="2" t="s">
        <v>454</v>
      </c>
      <c r="E178" s="2" t="s">
        <v>82</v>
      </c>
      <c r="F178" s="22">
        <v>107000</v>
      </c>
    </row>
    <row r="179" spans="1:6" x14ac:dyDescent="0.2">
      <c r="A179" s="42" t="s">
        <v>460</v>
      </c>
      <c r="B179" s="24" t="s">
        <v>7</v>
      </c>
      <c r="C179" s="24" t="s">
        <v>52</v>
      </c>
      <c r="D179" s="2" t="s">
        <v>455</v>
      </c>
      <c r="E179" s="2"/>
      <c r="F179" s="22">
        <f>SUM(F180:F181)</f>
        <v>1620</v>
      </c>
    </row>
    <row r="180" spans="1:6" ht="30" x14ac:dyDescent="0.2">
      <c r="A180" s="45" t="s">
        <v>83</v>
      </c>
      <c r="B180" s="24" t="s">
        <v>7</v>
      </c>
      <c r="C180" s="24" t="s">
        <v>52</v>
      </c>
      <c r="D180" s="2" t="s">
        <v>455</v>
      </c>
      <c r="E180" s="2" t="s">
        <v>81</v>
      </c>
      <c r="F180" s="22">
        <v>1160</v>
      </c>
    </row>
    <row r="181" spans="1:6" x14ac:dyDescent="0.2">
      <c r="A181" s="42" t="s">
        <v>91</v>
      </c>
      <c r="B181" s="24" t="s">
        <v>7</v>
      </c>
      <c r="C181" s="24" t="s">
        <v>52</v>
      </c>
      <c r="D181" s="2" t="s">
        <v>455</v>
      </c>
      <c r="E181" s="2" t="s">
        <v>90</v>
      </c>
      <c r="F181" s="22">
        <v>460</v>
      </c>
    </row>
    <row r="182" spans="1:6" x14ac:dyDescent="0.2">
      <c r="A182" s="42" t="s">
        <v>461</v>
      </c>
      <c r="B182" s="24" t="s">
        <v>7</v>
      </c>
      <c r="C182" s="24" t="s">
        <v>52</v>
      </c>
      <c r="D182" s="2" t="s">
        <v>456</v>
      </c>
      <c r="E182" s="2"/>
      <c r="F182" s="22">
        <f>F183</f>
        <v>8000</v>
      </c>
    </row>
    <row r="183" spans="1:6" x14ac:dyDescent="0.2">
      <c r="A183" s="45" t="s">
        <v>86</v>
      </c>
      <c r="B183" s="24" t="s">
        <v>7</v>
      </c>
      <c r="C183" s="24" t="s">
        <v>52</v>
      </c>
      <c r="D183" s="2" t="s">
        <v>456</v>
      </c>
      <c r="E183" s="2" t="s">
        <v>82</v>
      </c>
      <c r="F183" s="22">
        <v>8000</v>
      </c>
    </row>
    <row r="184" spans="1:6" x14ac:dyDescent="0.2">
      <c r="A184" s="42" t="s">
        <v>462</v>
      </c>
      <c r="B184" s="24" t="s">
        <v>7</v>
      </c>
      <c r="C184" s="24" t="s">
        <v>52</v>
      </c>
      <c r="D184" s="2" t="s">
        <v>457</v>
      </c>
      <c r="E184" s="2"/>
      <c r="F184" s="22">
        <f>SUM(F185:F186)</f>
        <v>4000</v>
      </c>
    </row>
    <row r="185" spans="1:6" ht="30" x14ac:dyDescent="0.2">
      <c r="A185" s="45" t="s">
        <v>83</v>
      </c>
      <c r="B185" s="24" t="s">
        <v>7</v>
      </c>
      <c r="C185" s="24" t="s">
        <v>52</v>
      </c>
      <c r="D185" s="2" t="s">
        <v>457</v>
      </c>
      <c r="E185" s="2" t="s">
        <v>81</v>
      </c>
      <c r="F185" s="22">
        <v>200</v>
      </c>
    </row>
    <row r="186" spans="1:6" x14ac:dyDescent="0.2">
      <c r="A186" s="42" t="s">
        <v>91</v>
      </c>
      <c r="B186" s="24" t="s">
        <v>7</v>
      </c>
      <c r="C186" s="24" t="s">
        <v>52</v>
      </c>
      <c r="D186" s="2" t="s">
        <v>457</v>
      </c>
      <c r="E186" s="2" t="s">
        <v>90</v>
      </c>
      <c r="F186" s="22">
        <v>3800</v>
      </c>
    </row>
    <row r="187" spans="1:6" ht="30" x14ac:dyDescent="0.2">
      <c r="A187" s="42" t="s">
        <v>463</v>
      </c>
      <c r="B187" s="24" t="s">
        <v>7</v>
      </c>
      <c r="C187" s="24" t="s">
        <v>52</v>
      </c>
      <c r="D187" s="2" t="s">
        <v>458</v>
      </c>
      <c r="E187" s="2"/>
      <c r="F187" s="22">
        <f>SUM(F188:F189)</f>
        <v>19410.599999999999</v>
      </c>
    </row>
    <row r="188" spans="1:6" ht="60" x14ac:dyDescent="0.2">
      <c r="A188" s="45" t="s">
        <v>84</v>
      </c>
      <c r="B188" s="24" t="s">
        <v>7</v>
      </c>
      <c r="C188" s="24" t="s">
        <v>52</v>
      </c>
      <c r="D188" s="2" t="s">
        <v>458</v>
      </c>
      <c r="E188" s="2" t="s">
        <v>80</v>
      </c>
      <c r="F188" s="22">
        <f>10015.7+1437.2+2278.8+812.3</f>
        <v>14544</v>
      </c>
    </row>
    <row r="189" spans="1:6" ht="30" x14ac:dyDescent="0.2">
      <c r="A189" s="45" t="s">
        <v>83</v>
      </c>
      <c r="B189" s="24" t="s">
        <v>7</v>
      </c>
      <c r="C189" s="24" t="s">
        <v>52</v>
      </c>
      <c r="D189" s="2" t="s">
        <v>458</v>
      </c>
      <c r="E189" s="2" t="s">
        <v>81</v>
      </c>
      <c r="F189" s="22">
        <v>4866.6000000000004</v>
      </c>
    </row>
    <row r="190" spans="1:6" ht="33.75" customHeight="1" x14ac:dyDescent="0.2">
      <c r="A190" s="45" t="s">
        <v>647</v>
      </c>
      <c r="B190" s="24" t="s">
        <v>7</v>
      </c>
      <c r="C190" s="24" t="s">
        <v>52</v>
      </c>
      <c r="D190" s="2" t="s">
        <v>646</v>
      </c>
      <c r="E190" s="2"/>
      <c r="F190" s="22">
        <f>F191</f>
        <v>1758.4</v>
      </c>
    </row>
    <row r="191" spans="1:6" ht="60" x14ac:dyDescent="0.2">
      <c r="A191" s="45" t="s">
        <v>84</v>
      </c>
      <c r="B191" s="24" t="s">
        <v>7</v>
      </c>
      <c r="C191" s="24" t="s">
        <v>52</v>
      </c>
      <c r="D191" s="2" t="s">
        <v>646</v>
      </c>
      <c r="E191" s="2" t="s">
        <v>80</v>
      </c>
      <c r="F191" s="22">
        <f>510+1198.5+49.9</f>
        <v>1758.4</v>
      </c>
    </row>
    <row r="192" spans="1:6" x14ac:dyDescent="0.2">
      <c r="A192" s="42" t="s">
        <v>24</v>
      </c>
      <c r="B192" s="24" t="s">
        <v>7</v>
      </c>
      <c r="C192" s="24" t="s">
        <v>52</v>
      </c>
      <c r="D192" s="2" t="s">
        <v>408</v>
      </c>
      <c r="E192" s="2"/>
      <c r="F192" s="22">
        <f>F193+F194</f>
        <v>122923.8</v>
      </c>
    </row>
    <row r="193" spans="1:6" ht="30" x14ac:dyDescent="0.2">
      <c r="A193" s="45" t="s">
        <v>83</v>
      </c>
      <c r="B193" s="24" t="s">
        <v>7</v>
      </c>
      <c r="C193" s="24" t="s">
        <v>52</v>
      </c>
      <c r="D193" s="2" t="s">
        <v>408</v>
      </c>
      <c r="E193" s="2" t="s">
        <v>81</v>
      </c>
      <c r="F193" s="22">
        <f>61398.6+20000+5002+12702.8+2027.5+20000</f>
        <v>121130.90000000001</v>
      </c>
    </row>
    <row r="194" spans="1:6" ht="30" x14ac:dyDescent="0.2">
      <c r="A194" s="1" t="s">
        <v>615</v>
      </c>
      <c r="B194" s="24" t="s">
        <v>7</v>
      </c>
      <c r="C194" s="24" t="s">
        <v>52</v>
      </c>
      <c r="D194" s="2" t="s">
        <v>408</v>
      </c>
      <c r="E194" s="2" t="s">
        <v>616</v>
      </c>
      <c r="F194" s="22">
        <v>1792.9</v>
      </c>
    </row>
    <row r="195" spans="1:6" ht="30" x14ac:dyDescent="0.2">
      <c r="A195" s="45" t="s">
        <v>466</v>
      </c>
      <c r="B195" s="24" t="s">
        <v>7</v>
      </c>
      <c r="C195" s="24" t="s">
        <v>52</v>
      </c>
      <c r="D195" s="2" t="s">
        <v>464</v>
      </c>
      <c r="E195" s="2"/>
      <c r="F195" s="22">
        <f>F196</f>
        <v>9129.2000000000007</v>
      </c>
    </row>
    <row r="196" spans="1:6" ht="60" x14ac:dyDescent="0.2">
      <c r="A196" s="45" t="s">
        <v>84</v>
      </c>
      <c r="B196" s="24" t="s">
        <v>7</v>
      </c>
      <c r="C196" s="24" t="s">
        <v>52</v>
      </c>
      <c r="D196" s="2" t="s">
        <v>464</v>
      </c>
      <c r="E196" s="2" t="s">
        <v>80</v>
      </c>
      <c r="F196" s="22">
        <f>3911.2+1558.4+3507.1+152.5</f>
        <v>9129.2000000000007</v>
      </c>
    </row>
    <row r="197" spans="1:6" ht="45" x14ac:dyDescent="0.2">
      <c r="A197" s="45" t="s">
        <v>467</v>
      </c>
      <c r="B197" s="24" t="s">
        <v>7</v>
      </c>
      <c r="C197" s="24" t="s">
        <v>52</v>
      </c>
      <c r="D197" s="2" t="s">
        <v>465</v>
      </c>
      <c r="E197" s="2"/>
      <c r="F197" s="22">
        <f>F198</f>
        <v>2762.2</v>
      </c>
    </row>
    <row r="198" spans="1:6" ht="60" x14ac:dyDescent="0.2">
      <c r="A198" s="45" t="s">
        <v>84</v>
      </c>
      <c r="B198" s="24" t="s">
        <v>7</v>
      </c>
      <c r="C198" s="24" t="s">
        <v>52</v>
      </c>
      <c r="D198" s="2" t="s">
        <v>465</v>
      </c>
      <c r="E198" s="2" t="s">
        <v>80</v>
      </c>
      <c r="F198" s="22">
        <f>994.7+638.4+1063+66.1</f>
        <v>2762.2</v>
      </c>
    </row>
    <row r="199" spans="1:6" ht="35.25" customHeight="1" x14ac:dyDescent="0.2">
      <c r="A199" s="45" t="s">
        <v>657</v>
      </c>
      <c r="B199" s="24" t="s">
        <v>7</v>
      </c>
      <c r="C199" s="24" t="s">
        <v>52</v>
      </c>
      <c r="D199" s="2" t="s">
        <v>656</v>
      </c>
      <c r="E199" s="2"/>
      <c r="F199" s="22">
        <f>F200</f>
        <v>400</v>
      </c>
    </row>
    <row r="200" spans="1:6" ht="30" x14ac:dyDescent="0.2">
      <c r="A200" s="45" t="s">
        <v>83</v>
      </c>
      <c r="B200" s="24" t="s">
        <v>7</v>
      </c>
      <c r="C200" s="24" t="s">
        <v>52</v>
      </c>
      <c r="D200" s="2" t="s">
        <v>656</v>
      </c>
      <c r="E200" s="2" t="s">
        <v>81</v>
      </c>
      <c r="F200" s="22">
        <v>400</v>
      </c>
    </row>
    <row r="201" spans="1:6" x14ac:dyDescent="0.2">
      <c r="A201" s="45" t="s">
        <v>383</v>
      </c>
      <c r="B201" s="24" t="s">
        <v>7</v>
      </c>
      <c r="C201" s="24" t="s">
        <v>52</v>
      </c>
      <c r="D201" s="2" t="s">
        <v>114</v>
      </c>
      <c r="E201" s="2"/>
      <c r="F201" s="22">
        <f>F202</f>
        <v>2180</v>
      </c>
    </row>
    <row r="202" spans="1:6" x14ac:dyDescent="0.2">
      <c r="A202" s="45" t="s">
        <v>86</v>
      </c>
      <c r="B202" s="24" t="s">
        <v>7</v>
      </c>
      <c r="C202" s="24" t="s">
        <v>52</v>
      </c>
      <c r="D202" s="2" t="s">
        <v>114</v>
      </c>
      <c r="E202" s="2" t="s">
        <v>82</v>
      </c>
      <c r="F202" s="22">
        <v>2180</v>
      </c>
    </row>
    <row r="203" spans="1:6" ht="45" x14ac:dyDescent="0.2">
      <c r="A203" s="45" t="s">
        <v>672</v>
      </c>
      <c r="B203" s="24" t="s">
        <v>7</v>
      </c>
      <c r="C203" s="24" t="s">
        <v>52</v>
      </c>
      <c r="D203" s="2" t="s">
        <v>671</v>
      </c>
      <c r="E203" s="2"/>
      <c r="F203" s="22">
        <f>F204</f>
        <v>38049.599999999999</v>
      </c>
    </row>
    <row r="204" spans="1:6" ht="30" x14ac:dyDescent="0.2">
      <c r="A204" s="45" t="s">
        <v>83</v>
      </c>
      <c r="B204" s="24" t="s">
        <v>7</v>
      </c>
      <c r="C204" s="24" t="s">
        <v>52</v>
      </c>
      <c r="D204" s="2" t="s">
        <v>671</v>
      </c>
      <c r="E204" s="2" t="s">
        <v>81</v>
      </c>
      <c r="F204" s="22">
        <v>38049.599999999999</v>
      </c>
    </row>
    <row r="205" spans="1:6" ht="30" x14ac:dyDescent="0.2">
      <c r="A205" s="45" t="s">
        <v>469</v>
      </c>
      <c r="B205" s="24" t="s">
        <v>7</v>
      </c>
      <c r="C205" s="24" t="s">
        <v>52</v>
      </c>
      <c r="D205" s="2" t="s">
        <v>468</v>
      </c>
      <c r="E205" s="2"/>
      <c r="F205" s="22">
        <f>SUM(F206:F207)</f>
        <v>41765.100000000006</v>
      </c>
    </row>
    <row r="206" spans="1:6" ht="60" x14ac:dyDescent="0.2">
      <c r="A206" s="45" t="s">
        <v>84</v>
      </c>
      <c r="B206" s="24" t="s">
        <v>7</v>
      </c>
      <c r="C206" s="24" t="s">
        <v>52</v>
      </c>
      <c r="D206" s="2" t="s">
        <v>468</v>
      </c>
      <c r="E206" s="2" t="s">
        <v>80</v>
      </c>
      <c r="F206" s="22">
        <f>21994+4922.4+7088.4+751</f>
        <v>34755.800000000003</v>
      </c>
    </row>
    <row r="207" spans="1:6" ht="30" x14ac:dyDescent="0.2">
      <c r="A207" s="45" t="s">
        <v>83</v>
      </c>
      <c r="B207" s="24" t="s">
        <v>7</v>
      </c>
      <c r="C207" s="24" t="s">
        <v>52</v>
      </c>
      <c r="D207" s="2" t="s">
        <v>468</v>
      </c>
      <c r="E207" s="2" t="s">
        <v>81</v>
      </c>
      <c r="F207" s="16">
        <v>7009.3</v>
      </c>
    </row>
    <row r="208" spans="1:6" ht="30" x14ac:dyDescent="0.2">
      <c r="A208" s="45" t="s">
        <v>361</v>
      </c>
      <c r="B208" s="24" t="s">
        <v>7</v>
      </c>
      <c r="C208" s="24" t="s">
        <v>52</v>
      </c>
      <c r="D208" s="2" t="s">
        <v>363</v>
      </c>
      <c r="E208" s="2"/>
      <c r="F208" s="43">
        <f>SUM(F209:F211)</f>
        <v>232984.59999999998</v>
      </c>
    </row>
    <row r="209" spans="1:6" ht="60" x14ac:dyDescent="0.2">
      <c r="A209" s="45" t="s">
        <v>84</v>
      </c>
      <c r="B209" s="24" t="s">
        <v>7</v>
      </c>
      <c r="C209" s="24" t="s">
        <v>52</v>
      </c>
      <c r="D209" s="2" t="s">
        <v>363</v>
      </c>
      <c r="E209" s="2" t="s">
        <v>80</v>
      </c>
      <c r="F209" s="43">
        <f>92522.4+11164+15658.4+3264.2</f>
        <v>122608.99999999999</v>
      </c>
    </row>
    <row r="210" spans="1:6" ht="30" x14ac:dyDescent="0.2">
      <c r="A210" s="45" t="s">
        <v>83</v>
      </c>
      <c r="B210" s="24" t="s">
        <v>7</v>
      </c>
      <c r="C210" s="24" t="s">
        <v>52</v>
      </c>
      <c r="D210" s="2" t="s">
        <v>363</v>
      </c>
      <c r="E210" s="2" t="s">
        <v>81</v>
      </c>
      <c r="F210" s="43">
        <f>61521.5+220.4+46641.7</f>
        <v>108383.6</v>
      </c>
    </row>
    <row r="211" spans="1:6" x14ac:dyDescent="0.2">
      <c r="A211" s="45" t="s">
        <v>86</v>
      </c>
      <c r="B211" s="24" t="s">
        <v>7</v>
      </c>
      <c r="C211" s="24" t="s">
        <v>52</v>
      </c>
      <c r="D211" s="2" t="s">
        <v>363</v>
      </c>
      <c r="E211" s="2" t="s">
        <v>82</v>
      </c>
      <c r="F211" s="43">
        <v>1992</v>
      </c>
    </row>
    <row r="212" spans="1:6" x14ac:dyDescent="0.2">
      <c r="A212" s="45" t="s">
        <v>471</v>
      </c>
      <c r="B212" s="24" t="s">
        <v>7</v>
      </c>
      <c r="C212" s="24" t="s">
        <v>52</v>
      </c>
      <c r="D212" s="2" t="s">
        <v>470</v>
      </c>
      <c r="E212" s="2"/>
      <c r="F212" s="43">
        <f>SUM(F213:F214)</f>
        <v>19530.099999999999</v>
      </c>
    </row>
    <row r="213" spans="1:6" ht="60" x14ac:dyDescent="0.2">
      <c r="A213" s="45" t="s">
        <v>84</v>
      </c>
      <c r="B213" s="24" t="s">
        <v>7</v>
      </c>
      <c r="C213" s="24" t="s">
        <v>52</v>
      </c>
      <c r="D213" s="2" t="s">
        <v>470</v>
      </c>
      <c r="E213" s="2" t="s">
        <v>80</v>
      </c>
      <c r="F213" s="43">
        <f>12662.5+1512+2170+459.8</f>
        <v>16804.3</v>
      </c>
    </row>
    <row r="214" spans="1:6" ht="30" x14ac:dyDescent="0.2">
      <c r="A214" s="45" t="s">
        <v>83</v>
      </c>
      <c r="B214" s="24" t="s">
        <v>7</v>
      </c>
      <c r="C214" s="24" t="s">
        <v>52</v>
      </c>
      <c r="D214" s="2" t="s">
        <v>470</v>
      </c>
      <c r="E214" s="2" t="s">
        <v>81</v>
      </c>
      <c r="F214" s="43">
        <f>2073+652.8</f>
        <v>2725.8</v>
      </c>
    </row>
    <row r="215" spans="1:6" x14ac:dyDescent="0.2">
      <c r="A215" s="45" t="s">
        <v>588</v>
      </c>
      <c r="B215" s="24" t="s">
        <v>7</v>
      </c>
      <c r="C215" s="24" t="s">
        <v>52</v>
      </c>
      <c r="D215" s="2" t="s">
        <v>589</v>
      </c>
      <c r="E215" s="2"/>
      <c r="F215" s="27">
        <f>F216+F217+F218</f>
        <v>32210.400000000001</v>
      </c>
    </row>
    <row r="216" spans="1:6" ht="60" x14ac:dyDescent="0.2">
      <c r="A216" s="45" t="s">
        <v>84</v>
      </c>
      <c r="B216" s="24" t="s">
        <v>7</v>
      </c>
      <c r="C216" s="24" t="s">
        <v>52</v>
      </c>
      <c r="D216" s="2" t="s">
        <v>589</v>
      </c>
      <c r="E216" s="2" t="s">
        <v>80</v>
      </c>
      <c r="F216" s="27">
        <f>8863.3+904.2+1216.6+526.8</f>
        <v>11510.9</v>
      </c>
    </row>
    <row r="217" spans="1:6" ht="30" x14ac:dyDescent="0.2">
      <c r="A217" s="45" t="s">
        <v>83</v>
      </c>
      <c r="B217" s="24" t="s">
        <v>7</v>
      </c>
      <c r="C217" s="24" t="s">
        <v>52</v>
      </c>
      <c r="D217" s="2" t="s">
        <v>589</v>
      </c>
      <c r="E217" s="2" t="s">
        <v>81</v>
      </c>
      <c r="F217" s="27">
        <f>7018.7+4050+9500.9</f>
        <v>20569.599999999999</v>
      </c>
    </row>
    <row r="218" spans="1:6" x14ac:dyDescent="0.2">
      <c r="A218" s="45" t="s">
        <v>86</v>
      </c>
      <c r="B218" s="24" t="s">
        <v>7</v>
      </c>
      <c r="C218" s="24" t="s">
        <v>52</v>
      </c>
      <c r="D218" s="2" t="s">
        <v>589</v>
      </c>
      <c r="E218" s="2" t="s">
        <v>82</v>
      </c>
      <c r="F218" s="27">
        <v>129.9</v>
      </c>
    </row>
    <row r="219" spans="1:6" x14ac:dyDescent="0.2">
      <c r="A219" s="45" t="s">
        <v>374</v>
      </c>
      <c r="B219" s="24" t="s">
        <v>7</v>
      </c>
      <c r="C219" s="24" t="s">
        <v>52</v>
      </c>
      <c r="D219" s="2" t="s">
        <v>373</v>
      </c>
      <c r="E219" s="2"/>
      <c r="F219" s="43">
        <f>SUM(F220:F222)</f>
        <v>34410.9</v>
      </c>
    </row>
    <row r="220" spans="1:6" ht="60" x14ac:dyDescent="0.2">
      <c r="A220" s="45" t="s">
        <v>84</v>
      </c>
      <c r="B220" s="24" t="s">
        <v>7</v>
      </c>
      <c r="C220" s="24" t="s">
        <v>52</v>
      </c>
      <c r="D220" s="2" t="s">
        <v>373</v>
      </c>
      <c r="E220" s="2" t="s">
        <v>80</v>
      </c>
      <c r="F220" s="43">
        <f>20677.2+2303.2+3425.4+1071.6</f>
        <v>27477.4</v>
      </c>
    </row>
    <row r="221" spans="1:6" ht="30" x14ac:dyDescent="0.2">
      <c r="A221" s="45" t="s">
        <v>83</v>
      </c>
      <c r="B221" s="24" t="s">
        <v>7</v>
      </c>
      <c r="C221" s="24" t="s">
        <v>52</v>
      </c>
      <c r="D221" s="2" t="s">
        <v>373</v>
      </c>
      <c r="E221" s="2" t="s">
        <v>81</v>
      </c>
      <c r="F221" s="43">
        <v>6580.3</v>
      </c>
    </row>
    <row r="222" spans="1:6" x14ac:dyDescent="0.2">
      <c r="A222" s="45" t="s">
        <v>86</v>
      </c>
      <c r="B222" s="24" t="s">
        <v>7</v>
      </c>
      <c r="C222" s="24" t="s">
        <v>52</v>
      </c>
      <c r="D222" s="2" t="s">
        <v>373</v>
      </c>
      <c r="E222" s="2" t="s">
        <v>82</v>
      </c>
      <c r="F222" s="43">
        <v>353.2</v>
      </c>
    </row>
    <row r="223" spans="1:6" ht="30" x14ac:dyDescent="0.2">
      <c r="A223" s="45" t="s">
        <v>375</v>
      </c>
      <c r="B223" s="24" t="s">
        <v>7</v>
      </c>
      <c r="C223" s="24" t="s">
        <v>52</v>
      </c>
      <c r="D223" s="2" t="s">
        <v>376</v>
      </c>
      <c r="E223" s="2"/>
      <c r="F223" s="43">
        <f>SUM(F224:F226)</f>
        <v>29232.599999999995</v>
      </c>
    </row>
    <row r="224" spans="1:6" ht="60" x14ac:dyDescent="0.2">
      <c r="A224" s="45" t="s">
        <v>84</v>
      </c>
      <c r="B224" s="24" t="s">
        <v>7</v>
      </c>
      <c r="C224" s="24" t="s">
        <v>52</v>
      </c>
      <c r="D224" s="2" t="s">
        <v>376</v>
      </c>
      <c r="E224" s="2" t="s">
        <v>80</v>
      </c>
      <c r="F224" s="43">
        <f>13708.7+556+1706.4+2554.2+1081.8</f>
        <v>19607.099999999999</v>
      </c>
    </row>
    <row r="225" spans="1:6" ht="30" x14ac:dyDescent="0.2">
      <c r="A225" s="45" t="s">
        <v>83</v>
      </c>
      <c r="B225" s="24" t="s">
        <v>7</v>
      </c>
      <c r="C225" s="24" t="s">
        <v>52</v>
      </c>
      <c r="D225" s="2" t="s">
        <v>376</v>
      </c>
      <c r="E225" s="2" t="s">
        <v>81</v>
      </c>
      <c r="F225" s="43">
        <f>7663.2+1387.2+6.8</f>
        <v>9057.1999999999989</v>
      </c>
    </row>
    <row r="226" spans="1:6" x14ac:dyDescent="0.2">
      <c r="A226" s="45" t="s">
        <v>86</v>
      </c>
      <c r="B226" s="24" t="s">
        <v>7</v>
      </c>
      <c r="C226" s="24" t="s">
        <v>52</v>
      </c>
      <c r="D226" s="2" t="s">
        <v>376</v>
      </c>
      <c r="E226" s="2" t="s">
        <v>82</v>
      </c>
      <c r="F226" s="43">
        <v>568.29999999999995</v>
      </c>
    </row>
    <row r="227" spans="1:6" ht="30" x14ac:dyDescent="0.2">
      <c r="A227" s="45" t="s">
        <v>584</v>
      </c>
      <c r="B227" s="24" t="s">
        <v>7</v>
      </c>
      <c r="C227" s="24" t="s">
        <v>52</v>
      </c>
      <c r="D227" s="2" t="s">
        <v>377</v>
      </c>
      <c r="E227" s="2"/>
      <c r="F227" s="43">
        <f>SUM(F228:F230)</f>
        <v>54604.4</v>
      </c>
    </row>
    <row r="228" spans="1:6" ht="60" x14ac:dyDescent="0.2">
      <c r="A228" s="45" t="s">
        <v>84</v>
      </c>
      <c r="B228" s="24" t="s">
        <v>7</v>
      </c>
      <c r="C228" s="24" t="s">
        <v>52</v>
      </c>
      <c r="D228" s="2" t="s">
        <v>377</v>
      </c>
      <c r="E228" s="2" t="s">
        <v>80</v>
      </c>
      <c r="F228" s="43">
        <f>19825.6+2245.2+3670.6+777.9</f>
        <v>26519.3</v>
      </c>
    </row>
    <row r="229" spans="1:6" ht="30" x14ac:dyDescent="0.2">
      <c r="A229" s="45" t="s">
        <v>83</v>
      </c>
      <c r="B229" s="24" t="s">
        <v>7</v>
      </c>
      <c r="C229" s="24" t="s">
        <v>52</v>
      </c>
      <c r="D229" s="2" t="s">
        <v>377</v>
      </c>
      <c r="E229" s="2" t="s">
        <v>81</v>
      </c>
      <c r="F229" s="43">
        <f>17815.4+824.6+3600</f>
        <v>22240</v>
      </c>
    </row>
    <row r="230" spans="1:6" x14ac:dyDescent="0.2">
      <c r="A230" s="45" t="s">
        <v>86</v>
      </c>
      <c r="B230" s="24" t="s">
        <v>7</v>
      </c>
      <c r="C230" s="24" t="s">
        <v>52</v>
      </c>
      <c r="D230" s="2" t="s">
        <v>377</v>
      </c>
      <c r="E230" s="2" t="s">
        <v>82</v>
      </c>
      <c r="F230" s="43">
        <v>5845.1</v>
      </c>
    </row>
    <row r="231" spans="1:6" ht="32.25" customHeight="1" x14ac:dyDescent="0.2">
      <c r="A231" s="45" t="s">
        <v>612</v>
      </c>
      <c r="B231" s="24" t="s">
        <v>7</v>
      </c>
      <c r="C231" s="24" t="s">
        <v>52</v>
      </c>
      <c r="D231" s="2" t="s">
        <v>613</v>
      </c>
      <c r="E231" s="2"/>
      <c r="F231" s="22">
        <f>F232+F233</f>
        <v>18454</v>
      </c>
    </row>
    <row r="232" spans="1:6" ht="30" x14ac:dyDescent="0.2">
      <c r="A232" s="45" t="s">
        <v>83</v>
      </c>
      <c r="B232" s="24" t="s">
        <v>7</v>
      </c>
      <c r="C232" s="24" t="s">
        <v>52</v>
      </c>
      <c r="D232" s="2" t="s">
        <v>613</v>
      </c>
      <c r="E232" s="2" t="s">
        <v>81</v>
      </c>
      <c r="F232" s="22">
        <f>3014.3+3101.1+724+11269.4-8069.4+2493.8</f>
        <v>12533.2</v>
      </c>
    </row>
    <row r="233" spans="1:6" ht="30" x14ac:dyDescent="0.2">
      <c r="A233" s="28" t="s">
        <v>615</v>
      </c>
      <c r="B233" s="24" t="s">
        <v>7</v>
      </c>
      <c r="C233" s="24" t="s">
        <v>52</v>
      </c>
      <c r="D233" s="2" t="s">
        <v>613</v>
      </c>
      <c r="E233" s="2" t="s">
        <v>616</v>
      </c>
      <c r="F233" s="22">
        <v>5920.8</v>
      </c>
    </row>
    <row r="234" spans="1:6" ht="65.25" customHeight="1" x14ac:dyDescent="0.2">
      <c r="A234" s="28" t="s">
        <v>761</v>
      </c>
      <c r="B234" s="24" t="s">
        <v>7</v>
      </c>
      <c r="C234" s="24" t="s">
        <v>52</v>
      </c>
      <c r="D234" s="2" t="s">
        <v>760</v>
      </c>
      <c r="E234" s="2"/>
      <c r="F234" s="22">
        <f>F235</f>
        <v>546.20000000000005</v>
      </c>
    </row>
    <row r="235" spans="1:6" ht="30" x14ac:dyDescent="0.2">
      <c r="A235" s="45" t="s">
        <v>83</v>
      </c>
      <c r="B235" s="24" t="s">
        <v>7</v>
      </c>
      <c r="C235" s="24" t="s">
        <v>52</v>
      </c>
      <c r="D235" s="2" t="s">
        <v>760</v>
      </c>
      <c r="E235" s="2" t="s">
        <v>81</v>
      </c>
      <c r="F235" s="22">
        <v>546.20000000000005</v>
      </c>
    </row>
    <row r="236" spans="1:6" ht="30" x14ac:dyDescent="0.2">
      <c r="A236" s="45" t="s">
        <v>473</v>
      </c>
      <c r="B236" s="24" t="s">
        <v>7</v>
      </c>
      <c r="C236" s="24" t="s">
        <v>52</v>
      </c>
      <c r="D236" s="2" t="s">
        <v>472</v>
      </c>
      <c r="E236" s="2"/>
      <c r="F236" s="43">
        <f>F238+F237</f>
        <v>174271.5</v>
      </c>
    </row>
    <row r="237" spans="1:6" ht="60" x14ac:dyDescent="0.2">
      <c r="A237" s="45" t="s">
        <v>84</v>
      </c>
      <c r="B237" s="24" t="s">
        <v>7</v>
      </c>
      <c r="C237" s="24" t="s">
        <v>52</v>
      </c>
      <c r="D237" s="2" t="s">
        <v>472</v>
      </c>
      <c r="E237" s="2" t="s">
        <v>80</v>
      </c>
      <c r="F237" s="43">
        <v>136976.1</v>
      </c>
    </row>
    <row r="238" spans="1:6" ht="30" x14ac:dyDescent="0.2">
      <c r="A238" s="45" t="s">
        <v>83</v>
      </c>
      <c r="B238" s="24" t="s">
        <v>7</v>
      </c>
      <c r="C238" s="24" t="s">
        <v>52</v>
      </c>
      <c r="D238" s="2" t="s">
        <v>472</v>
      </c>
      <c r="E238" s="2" t="s">
        <v>81</v>
      </c>
      <c r="F238" s="43">
        <f>23193.8-998.8+15100.4</f>
        <v>37295.4</v>
      </c>
    </row>
    <row r="239" spans="1:6" ht="30" x14ac:dyDescent="0.2">
      <c r="A239" s="28" t="s">
        <v>151</v>
      </c>
      <c r="B239" s="24" t="s">
        <v>7</v>
      </c>
      <c r="C239" s="24" t="s">
        <v>52</v>
      </c>
      <c r="D239" s="24" t="s">
        <v>152</v>
      </c>
      <c r="E239" s="2"/>
      <c r="F239" s="22">
        <f>F240</f>
        <v>315.89999999999998</v>
      </c>
    </row>
    <row r="240" spans="1:6" ht="17.25" customHeight="1" x14ac:dyDescent="0.2">
      <c r="A240" s="45" t="s">
        <v>355</v>
      </c>
      <c r="B240" s="24" t="s">
        <v>7</v>
      </c>
      <c r="C240" s="24" t="s">
        <v>52</v>
      </c>
      <c r="D240" s="24" t="s">
        <v>358</v>
      </c>
      <c r="E240" s="2"/>
      <c r="F240" s="22">
        <f>F241</f>
        <v>315.89999999999998</v>
      </c>
    </row>
    <row r="241" spans="1:6" x14ac:dyDescent="0.2">
      <c r="A241" s="45" t="s">
        <v>74</v>
      </c>
      <c r="B241" s="24" t="s">
        <v>7</v>
      </c>
      <c r="C241" s="24" t="s">
        <v>52</v>
      </c>
      <c r="D241" s="24" t="s">
        <v>360</v>
      </c>
      <c r="E241" s="2"/>
      <c r="F241" s="22">
        <f>F242</f>
        <v>315.89999999999998</v>
      </c>
    </row>
    <row r="242" spans="1:6" x14ac:dyDescent="0.2">
      <c r="A242" s="45" t="s">
        <v>86</v>
      </c>
      <c r="B242" s="24" t="s">
        <v>7</v>
      </c>
      <c r="C242" s="24" t="s">
        <v>52</v>
      </c>
      <c r="D242" s="24" t="s">
        <v>360</v>
      </c>
      <c r="E242" s="2" t="s">
        <v>82</v>
      </c>
      <c r="F242" s="22">
        <v>315.89999999999998</v>
      </c>
    </row>
    <row r="243" spans="1:6" ht="30" x14ac:dyDescent="0.2">
      <c r="A243" s="45" t="s">
        <v>585</v>
      </c>
      <c r="B243" s="24" t="s">
        <v>7</v>
      </c>
      <c r="C243" s="24" t="s">
        <v>52</v>
      </c>
      <c r="D243" s="24" t="s">
        <v>367</v>
      </c>
      <c r="E243" s="2"/>
      <c r="F243" s="22">
        <f>F244</f>
        <v>6436</v>
      </c>
    </row>
    <row r="244" spans="1:6" ht="30" x14ac:dyDescent="0.2">
      <c r="A244" s="42" t="s">
        <v>368</v>
      </c>
      <c r="B244" s="24" t="s">
        <v>7</v>
      </c>
      <c r="C244" s="24" t="s">
        <v>52</v>
      </c>
      <c r="D244" s="24" t="s">
        <v>369</v>
      </c>
      <c r="E244" s="2"/>
      <c r="F244" s="22">
        <f>F245</f>
        <v>6436</v>
      </c>
    </row>
    <row r="245" spans="1:6" ht="45" x14ac:dyDescent="0.2">
      <c r="A245" s="45" t="s">
        <v>370</v>
      </c>
      <c r="B245" s="24" t="s">
        <v>7</v>
      </c>
      <c r="C245" s="24" t="s">
        <v>52</v>
      </c>
      <c r="D245" s="24" t="s">
        <v>371</v>
      </c>
      <c r="E245" s="2"/>
      <c r="F245" s="22">
        <f>F246</f>
        <v>6436</v>
      </c>
    </row>
    <row r="246" spans="1:6" ht="30" x14ac:dyDescent="0.2">
      <c r="A246" s="45" t="s">
        <v>83</v>
      </c>
      <c r="B246" s="24" t="s">
        <v>7</v>
      </c>
      <c r="C246" s="24" t="s">
        <v>52</v>
      </c>
      <c r="D246" s="24" t="s">
        <v>371</v>
      </c>
      <c r="E246" s="2" t="s">
        <v>81</v>
      </c>
      <c r="F246" s="22">
        <v>6436</v>
      </c>
    </row>
    <row r="247" spans="1:6" ht="30" x14ac:dyDescent="0.2">
      <c r="A247" s="45" t="s">
        <v>410</v>
      </c>
      <c r="B247" s="24" t="s">
        <v>7</v>
      </c>
      <c r="C247" s="24" t="s">
        <v>52</v>
      </c>
      <c r="D247" s="24" t="s">
        <v>409</v>
      </c>
      <c r="E247" s="2"/>
      <c r="F247" s="22">
        <f>F248</f>
        <v>10662.099999999999</v>
      </c>
    </row>
    <row r="248" spans="1:6" ht="35.25" customHeight="1" x14ac:dyDescent="0.2">
      <c r="A248" s="42" t="s">
        <v>495</v>
      </c>
      <c r="B248" s="24" t="s">
        <v>7</v>
      </c>
      <c r="C248" s="24" t="s">
        <v>52</v>
      </c>
      <c r="D248" s="24" t="s">
        <v>493</v>
      </c>
      <c r="E248" s="2"/>
      <c r="F248" s="22">
        <f>F249</f>
        <v>10662.099999999999</v>
      </c>
    </row>
    <row r="249" spans="1:6" x14ac:dyDescent="0.2">
      <c r="A249" s="45" t="s">
        <v>412</v>
      </c>
      <c r="B249" s="24" t="s">
        <v>7</v>
      </c>
      <c r="C249" s="24" t="s">
        <v>52</v>
      </c>
      <c r="D249" s="24" t="s">
        <v>494</v>
      </c>
      <c r="E249" s="2"/>
      <c r="F249" s="22">
        <f>F250</f>
        <v>10662.099999999999</v>
      </c>
    </row>
    <row r="250" spans="1:6" ht="30" x14ac:dyDescent="0.2">
      <c r="A250" s="1" t="s">
        <v>88</v>
      </c>
      <c r="B250" s="24" t="s">
        <v>7</v>
      </c>
      <c r="C250" s="24" t="s">
        <v>52</v>
      </c>
      <c r="D250" s="24" t="s">
        <v>494</v>
      </c>
      <c r="E250" s="2" t="s">
        <v>85</v>
      </c>
      <c r="F250" s="22">
        <f>8589.6+717.8+1020.4+334.3</f>
        <v>10662.099999999999</v>
      </c>
    </row>
    <row r="251" spans="1:6" ht="33.75" customHeight="1" x14ac:dyDescent="0.2">
      <c r="A251" s="1" t="s">
        <v>648</v>
      </c>
      <c r="B251" s="24" t="s">
        <v>7</v>
      </c>
      <c r="C251" s="24" t="s">
        <v>52</v>
      </c>
      <c r="D251" s="24" t="s">
        <v>649</v>
      </c>
      <c r="E251" s="2"/>
      <c r="F251" s="22">
        <f>F252</f>
        <v>1571.5</v>
      </c>
    </row>
    <row r="252" spans="1:6" ht="93.75" customHeight="1" x14ac:dyDescent="0.2">
      <c r="A252" s="1" t="s">
        <v>650</v>
      </c>
      <c r="B252" s="24" t="s">
        <v>7</v>
      </c>
      <c r="C252" s="24" t="s">
        <v>52</v>
      </c>
      <c r="D252" s="24" t="s">
        <v>651</v>
      </c>
      <c r="E252" s="2"/>
      <c r="F252" s="22">
        <f>F253</f>
        <v>1571.5</v>
      </c>
    </row>
    <row r="253" spans="1:6" x14ac:dyDescent="0.2">
      <c r="A253" s="1" t="s">
        <v>652</v>
      </c>
      <c r="B253" s="24" t="s">
        <v>7</v>
      </c>
      <c r="C253" s="24" t="s">
        <v>52</v>
      </c>
      <c r="D253" s="24" t="s">
        <v>653</v>
      </c>
      <c r="E253" s="2"/>
      <c r="F253" s="22">
        <f>F254</f>
        <v>1571.5</v>
      </c>
    </row>
    <row r="254" spans="1:6" x14ac:dyDescent="0.2">
      <c r="A254" s="45" t="s">
        <v>86</v>
      </c>
      <c r="B254" s="24" t="s">
        <v>7</v>
      </c>
      <c r="C254" s="24" t="s">
        <v>52</v>
      </c>
      <c r="D254" s="24" t="s">
        <v>653</v>
      </c>
      <c r="E254" s="2" t="s">
        <v>82</v>
      </c>
      <c r="F254" s="22">
        <v>1571.5</v>
      </c>
    </row>
    <row r="255" spans="1:6" ht="30" x14ac:dyDescent="0.2">
      <c r="A255" s="60" t="s">
        <v>329</v>
      </c>
      <c r="B255" s="24" t="s">
        <v>7</v>
      </c>
      <c r="C255" s="24" t="s">
        <v>52</v>
      </c>
      <c r="D255" s="24" t="s">
        <v>330</v>
      </c>
      <c r="E255" s="2"/>
      <c r="F255" s="22">
        <f>F256</f>
        <v>607</v>
      </c>
    </row>
    <row r="256" spans="1:6" ht="18.75" customHeight="1" x14ac:dyDescent="0.2">
      <c r="A256" s="45" t="s">
        <v>355</v>
      </c>
      <c r="B256" s="24" t="s">
        <v>7</v>
      </c>
      <c r="C256" s="24" t="s">
        <v>52</v>
      </c>
      <c r="D256" s="24" t="s">
        <v>356</v>
      </c>
      <c r="E256" s="2"/>
      <c r="F256" s="22">
        <f>F257</f>
        <v>607</v>
      </c>
    </row>
    <row r="257" spans="1:6" x14ac:dyDescent="0.2">
      <c r="A257" s="45" t="s">
        <v>74</v>
      </c>
      <c r="B257" s="24" t="s">
        <v>7</v>
      </c>
      <c r="C257" s="24" t="s">
        <v>52</v>
      </c>
      <c r="D257" s="24" t="s">
        <v>372</v>
      </c>
      <c r="E257" s="2"/>
      <c r="F257" s="22">
        <f>F258</f>
        <v>607</v>
      </c>
    </row>
    <row r="258" spans="1:6" x14ac:dyDescent="0.2">
      <c r="A258" s="45" t="s">
        <v>86</v>
      </c>
      <c r="B258" s="24" t="s">
        <v>7</v>
      </c>
      <c r="C258" s="24" t="s">
        <v>52</v>
      </c>
      <c r="D258" s="24" t="s">
        <v>372</v>
      </c>
      <c r="E258" s="2" t="s">
        <v>82</v>
      </c>
      <c r="F258" s="22">
        <v>607</v>
      </c>
    </row>
    <row r="259" spans="1:6" ht="30" x14ac:dyDescent="0.2">
      <c r="A259" s="45" t="s">
        <v>452</v>
      </c>
      <c r="B259" s="24" t="s">
        <v>7</v>
      </c>
      <c r="C259" s="24" t="s">
        <v>52</v>
      </c>
      <c r="D259" s="24" t="s">
        <v>448</v>
      </c>
      <c r="E259" s="2"/>
      <c r="F259" s="22">
        <f>F260+F268</f>
        <v>100435.79999999999</v>
      </c>
    </row>
    <row r="260" spans="1:6" ht="45" x14ac:dyDescent="0.2">
      <c r="A260" s="45" t="s">
        <v>453</v>
      </c>
      <c r="B260" s="24" t="s">
        <v>7</v>
      </c>
      <c r="C260" s="24" t="s">
        <v>52</v>
      </c>
      <c r="D260" s="24" t="s">
        <v>449</v>
      </c>
      <c r="E260" s="2"/>
      <c r="F260" s="22">
        <f>F261</f>
        <v>85759.9</v>
      </c>
    </row>
    <row r="261" spans="1:6" ht="75" x14ac:dyDescent="0.2">
      <c r="A261" s="45" t="s">
        <v>497</v>
      </c>
      <c r="B261" s="24" t="s">
        <v>7</v>
      </c>
      <c r="C261" s="24" t="s">
        <v>52</v>
      </c>
      <c r="D261" s="24" t="s">
        <v>450</v>
      </c>
      <c r="E261" s="2"/>
      <c r="F261" s="22">
        <f>F262+F264+F266</f>
        <v>85759.9</v>
      </c>
    </row>
    <row r="262" spans="1:6" x14ac:dyDescent="0.2">
      <c r="A262" s="45" t="s">
        <v>74</v>
      </c>
      <c r="B262" s="24" t="s">
        <v>7</v>
      </c>
      <c r="C262" s="24" t="s">
        <v>52</v>
      </c>
      <c r="D262" s="24" t="s">
        <v>496</v>
      </c>
      <c r="E262" s="2"/>
      <c r="F262" s="22">
        <f>F263</f>
        <v>44.2</v>
      </c>
    </row>
    <row r="263" spans="1:6" x14ac:dyDescent="0.2">
      <c r="A263" s="45" t="s">
        <v>86</v>
      </c>
      <c r="B263" s="24" t="s">
        <v>7</v>
      </c>
      <c r="C263" s="24" t="s">
        <v>52</v>
      </c>
      <c r="D263" s="24" t="s">
        <v>496</v>
      </c>
      <c r="E263" s="2" t="s">
        <v>82</v>
      </c>
      <c r="F263" s="22">
        <v>44.2</v>
      </c>
    </row>
    <row r="264" spans="1:6" ht="30" x14ac:dyDescent="0.2">
      <c r="A264" s="45" t="s">
        <v>574</v>
      </c>
      <c r="B264" s="2" t="s">
        <v>7</v>
      </c>
      <c r="C264" s="2" t="s">
        <v>52</v>
      </c>
      <c r="D264" s="24" t="s">
        <v>559</v>
      </c>
      <c r="E264" s="2"/>
      <c r="F264" s="22">
        <f>F265</f>
        <v>20786.899999999998</v>
      </c>
    </row>
    <row r="265" spans="1:6" ht="30" x14ac:dyDescent="0.2">
      <c r="A265" s="45" t="s">
        <v>83</v>
      </c>
      <c r="B265" s="2" t="s">
        <v>7</v>
      </c>
      <c r="C265" s="2" t="s">
        <v>52</v>
      </c>
      <c r="D265" s="24" t="s">
        <v>559</v>
      </c>
      <c r="E265" s="2" t="s">
        <v>81</v>
      </c>
      <c r="F265" s="22">
        <f>442.8+20344.1</f>
        <v>20786.899999999998</v>
      </c>
    </row>
    <row r="266" spans="1:6" ht="30" x14ac:dyDescent="0.2">
      <c r="A266" s="45" t="s">
        <v>610</v>
      </c>
      <c r="B266" s="2" t="s">
        <v>7</v>
      </c>
      <c r="C266" s="2" t="s">
        <v>52</v>
      </c>
      <c r="D266" s="24" t="s">
        <v>611</v>
      </c>
      <c r="E266" s="2"/>
      <c r="F266" s="22">
        <f>F267</f>
        <v>64928.799999999996</v>
      </c>
    </row>
    <row r="267" spans="1:6" ht="30" x14ac:dyDescent="0.2">
      <c r="A267" s="45" t="s">
        <v>83</v>
      </c>
      <c r="B267" s="2" t="s">
        <v>7</v>
      </c>
      <c r="C267" s="2" t="s">
        <v>52</v>
      </c>
      <c r="D267" s="24" t="s">
        <v>611</v>
      </c>
      <c r="E267" s="2" t="s">
        <v>81</v>
      </c>
      <c r="F267" s="22">
        <f>418.8+840+1000+405.8+50000+7264.2+5000</f>
        <v>64928.799999999996</v>
      </c>
    </row>
    <row r="268" spans="1:6" ht="45" x14ac:dyDescent="0.2">
      <c r="A268" s="45" t="s">
        <v>477</v>
      </c>
      <c r="B268" s="24" t="s">
        <v>7</v>
      </c>
      <c r="C268" s="24" t="s">
        <v>52</v>
      </c>
      <c r="D268" s="24" t="s">
        <v>476</v>
      </c>
      <c r="E268" s="2"/>
      <c r="F268" s="22">
        <f>F269</f>
        <v>14675.900000000001</v>
      </c>
    </row>
    <row r="269" spans="1:6" ht="45" x14ac:dyDescent="0.2">
      <c r="A269" s="45" t="s">
        <v>478</v>
      </c>
      <c r="B269" s="24" t="s">
        <v>7</v>
      </c>
      <c r="C269" s="24" t="s">
        <v>52</v>
      </c>
      <c r="D269" s="24" t="s">
        <v>474</v>
      </c>
      <c r="E269" s="2"/>
      <c r="F269" s="22">
        <f>F270</f>
        <v>14675.900000000001</v>
      </c>
    </row>
    <row r="270" spans="1:6" ht="30" x14ac:dyDescent="0.2">
      <c r="A270" s="45" t="s">
        <v>88</v>
      </c>
      <c r="B270" s="24" t="s">
        <v>7</v>
      </c>
      <c r="C270" s="24" t="s">
        <v>52</v>
      </c>
      <c r="D270" s="24" t="s">
        <v>475</v>
      </c>
      <c r="E270" s="2"/>
      <c r="F270" s="22">
        <f>F271</f>
        <v>14675.900000000001</v>
      </c>
    </row>
    <row r="271" spans="1:6" ht="30" x14ac:dyDescent="0.2">
      <c r="A271" s="1" t="s">
        <v>88</v>
      </c>
      <c r="B271" s="24" t="s">
        <v>7</v>
      </c>
      <c r="C271" s="24" t="s">
        <v>52</v>
      </c>
      <c r="D271" s="24" t="s">
        <v>475</v>
      </c>
      <c r="E271" s="2" t="s">
        <v>85</v>
      </c>
      <c r="F271" s="22">
        <f>9053.1+3516.6+2030.7+75.5</f>
        <v>14675.900000000001</v>
      </c>
    </row>
    <row r="272" spans="1:6" ht="45" x14ac:dyDescent="0.2">
      <c r="A272" s="45" t="s">
        <v>384</v>
      </c>
      <c r="B272" s="2" t="s">
        <v>7</v>
      </c>
      <c r="C272" s="2" t="s">
        <v>52</v>
      </c>
      <c r="D272" s="24" t="s">
        <v>385</v>
      </c>
      <c r="E272" s="2"/>
      <c r="F272" s="22">
        <f>F273</f>
        <v>52910.400000000001</v>
      </c>
    </row>
    <row r="273" spans="1:6" ht="19.5" customHeight="1" x14ac:dyDescent="0.2">
      <c r="A273" s="45" t="s">
        <v>355</v>
      </c>
      <c r="B273" s="2" t="s">
        <v>7</v>
      </c>
      <c r="C273" s="2" t="s">
        <v>52</v>
      </c>
      <c r="D273" s="24" t="s">
        <v>386</v>
      </c>
      <c r="E273" s="2"/>
      <c r="F273" s="22">
        <f>F274+F276</f>
        <v>52910.400000000001</v>
      </c>
    </row>
    <row r="274" spans="1:6" x14ac:dyDescent="0.2">
      <c r="A274" s="45" t="s">
        <v>74</v>
      </c>
      <c r="B274" s="2" t="s">
        <v>7</v>
      </c>
      <c r="C274" s="2" t="s">
        <v>52</v>
      </c>
      <c r="D274" s="24" t="s">
        <v>387</v>
      </c>
      <c r="E274" s="2"/>
      <c r="F274" s="22">
        <f>F275</f>
        <v>8</v>
      </c>
    </row>
    <row r="275" spans="1:6" x14ac:dyDescent="0.2">
      <c r="A275" s="45" t="s">
        <v>86</v>
      </c>
      <c r="B275" s="2" t="s">
        <v>7</v>
      </c>
      <c r="C275" s="2" t="s">
        <v>52</v>
      </c>
      <c r="D275" s="24" t="s">
        <v>387</v>
      </c>
      <c r="E275" s="2" t="s">
        <v>82</v>
      </c>
      <c r="F275" s="22">
        <v>8</v>
      </c>
    </row>
    <row r="276" spans="1:6" ht="30" x14ac:dyDescent="0.2">
      <c r="A276" s="45" t="s">
        <v>388</v>
      </c>
      <c r="B276" s="2" t="s">
        <v>7</v>
      </c>
      <c r="C276" s="2" t="s">
        <v>52</v>
      </c>
      <c r="D276" s="24" t="s">
        <v>389</v>
      </c>
      <c r="E276" s="2"/>
      <c r="F276" s="22">
        <f>SUM(F277:F279)</f>
        <v>52902.400000000001</v>
      </c>
    </row>
    <row r="277" spans="1:6" ht="60" x14ac:dyDescent="0.2">
      <c r="A277" s="45" t="s">
        <v>84</v>
      </c>
      <c r="B277" s="2" t="s">
        <v>7</v>
      </c>
      <c r="C277" s="2" t="s">
        <v>52</v>
      </c>
      <c r="D277" s="24" t="s">
        <v>389</v>
      </c>
      <c r="E277" s="2" t="s">
        <v>80</v>
      </c>
      <c r="F277" s="22">
        <f>34734.9+3307.8+5314+3220.1</f>
        <v>46576.800000000003</v>
      </c>
    </row>
    <row r="278" spans="1:6" ht="30" x14ac:dyDescent="0.2">
      <c r="A278" s="45" t="s">
        <v>83</v>
      </c>
      <c r="B278" s="2" t="s">
        <v>7</v>
      </c>
      <c r="C278" s="2" t="s">
        <v>52</v>
      </c>
      <c r="D278" s="24" t="s">
        <v>389</v>
      </c>
      <c r="E278" s="2" t="s">
        <v>81</v>
      </c>
      <c r="F278" s="22">
        <v>6311.6</v>
      </c>
    </row>
    <row r="279" spans="1:6" x14ac:dyDescent="0.2">
      <c r="A279" s="45" t="s">
        <v>86</v>
      </c>
      <c r="B279" s="2" t="s">
        <v>7</v>
      </c>
      <c r="C279" s="2" t="s">
        <v>52</v>
      </c>
      <c r="D279" s="24" t="s">
        <v>389</v>
      </c>
      <c r="E279" s="2" t="s">
        <v>82</v>
      </c>
      <c r="F279" s="22">
        <v>14</v>
      </c>
    </row>
    <row r="280" spans="1:6" ht="75" x14ac:dyDescent="0.2">
      <c r="A280" s="45" t="s">
        <v>379</v>
      </c>
      <c r="B280" s="2" t="s">
        <v>7</v>
      </c>
      <c r="C280" s="2" t="s">
        <v>52</v>
      </c>
      <c r="D280" s="24" t="s">
        <v>380</v>
      </c>
      <c r="E280" s="2"/>
      <c r="F280" s="22">
        <f>F281</f>
        <v>40.200000000000003</v>
      </c>
    </row>
    <row r="281" spans="1:6" ht="21" customHeight="1" x14ac:dyDescent="0.2">
      <c r="A281" s="45" t="s">
        <v>355</v>
      </c>
      <c r="B281" s="2" t="s">
        <v>7</v>
      </c>
      <c r="C281" s="2" t="s">
        <v>52</v>
      </c>
      <c r="D281" s="24" t="s">
        <v>381</v>
      </c>
      <c r="E281" s="2"/>
      <c r="F281" s="22">
        <f>F282</f>
        <v>40.200000000000003</v>
      </c>
    </row>
    <row r="282" spans="1:6" ht="21" customHeight="1" x14ac:dyDescent="0.2">
      <c r="A282" s="45" t="s">
        <v>74</v>
      </c>
      <c r="B282" s="2" t="s">
        <v>7</v>
      </c>
      <c r="C282" s="2" t="s">
        <v>52</v>
      </c>
      <c r="D282" s="24" t="s">
        <v>390</v>
      </c>
      <c r="E282" s="2"/>
      <c r="F282" s="22">
        <f>F283</f>
        <v>40.200000000000003</v>
      </c>
    </row>
    <row r="283" spans="1:6" x14ac:dyDescent="0.2">
      <c r="A283" s="45" t="s">
        <v>86</v>
      </c>
      <c r="B283" s="2" t="s">
        <v>7</v>
      </c>
      <c r="C283" s="2" t="s">
        <v>52</v>
      </c>
      <c r="D283" s="24" t="s">
        <v>390</v>
      </c>
      <c r="E283" s="2" t="s">
        <v>82</v>
      </c>
      <c r="F283" s="22">
        <v>40.200000000000003</v>
      </c>
    </row>
    <row r="284" spans="1:6" ht="30" x14ac:dyDescent="0.2">
      <c r="A284" s="45" t="s">
        <v>489</v>
      </c>
      <c r="B284" s="24" t="s">
        <v>7</v>
      </c>
      <c r="C284" s="24" t="s">
        <v>52</v>
      </c>
      <c r="D284" s="24" t="s">
        <v>276</v>
      </c>
      <c r="E284" s="2"/>
      <c r="F284" s="22">
        <f>F285</f>
        <v>437</v>
      </c>
    </row>
    <row r="285" spans="1:6" x14ac:dyDescent="0.2">
      <c r="A285" s="3" t="s">
        <v>144</v>
      </c>
      <c r="B285" s="24" t="s">
        <v>7</v>
      </c>
      <c r="C285" s="24" t="s">
        <v>52</v>
      </c>
      <c r="D285" s="24" t="s">
        <v>277</v>
      </c>
      <c r="E285" s="2"/>
      <c r="F285" s="22">
        <f>F286</f>
        <v>437</v>
      </c>
    </row>
    <row r="286" spans="1:6" ht="30" x14ac:dyDescent="0.2">
      <c r="A286" s="45" t="s">
        <v>327</v>
      </c>
      <c r="B286" s="24" t="s">
        <v>7</v>
      </c>
      <c r="C286" s="24" t="s">
        <v>52</v>
      </c>
      <c r="D286" s="24" t="s">
        <v>278</v>
      </c>
      <c r="E286" s="2"/>
      <c r="F286" s="22">
        <f>F287</f>
        <v>437</v>
      </c>
    </row>
    <row r="287" spans="1:6" x14ac:dyDescent="0.2">
      <c r="A287" s="45" t="s">
        <v>74</v>
      </c>
      <c r="B287" s="24" t="s">
        <v>7</v>
      </c>
      <c r="C287" s="24" t="s">
        <v>52</v>
      </c>
      <c r="D287" s="24" t="s">
        <v>285</v>
      </c>
      <c r="E287" s="2"/>
      <c r="F287" s="22">
        <f>F288</f>
        <v>437</v>
      </c>
    </row>
    <row r="288" spans="1:6" x14ac:dyDescent="0.2">
      <c r="A288" s="45" t="s">
        <v>86</v>
      </c>
      <c r="B288" s="24" t="s">
        <v>7</v>
      </c>
      <c r="C288" s="24" t="s">
        <v>52</v>
      </c>
      <c r="D288" s="24" t="s">
        <v>285</v>
      </c>
      <c r="E288" s="2" t="s">
        <v>82</v>
      </c>
      <c r="F288" s="43">
        <v>437</v>
      </c>
    </row>
    <row r="289" spans="1:6" ht="30" x14ac:dyDescent="0.2">
      <c r="A289" s="45" t="s">
        <v>560</v>
      </c>
      <c r="B289" s="24" t="s">
        <v>7</v>
      </c>
      <c r="C289" s="24" t="s">
        <v>52</v>
      </c>
      <c r="D289" s="24" t="s">
        <v>538</v>
      </c>
      <c r="E289" s="2"/>
      <c r="F289" s="43">
        <f>F290+F293</f>
        <v>7950</v>
      </c>
    </row>
    <row r="290" spans="1:6" ht="18" customHeight="1" x14ac:dyDescent="0.2">
      <c r="A290" s="45" t="s">
        <v>355</v>
      </c>
      <c r="B290" s="24" t="s">
        <v>7</v>
      </c>
      <c r="C290" s="24" t="s">
        <v>52</v>
      </c>
      <c r="D290" s="24" t="s">
        <v>539</v>
      </c>
      <c r="E290" s="2"/>
      <c r="F290" s="43">
        <f>F291</f>
        <v>0.5</v>
      </c>
    </row>
    <row r="291" spans="1:6" x14ac:dyDescent="0.2">
      <c r="A291" s="1" t="s">
        <v>74</v>
      </c>
      <c r="B291" s="24" t="s">
        <v>7</v>
      </c>
      <c r="C291" s="24" t="s">
        <v>52</v>
      </c>
      <c r="D291" s="24" t="s">
        <v>561</v>
      </c>
      <c r="E291" s="2"/>
      <c r="F291" s="43">
        <f>F292</f>
        <v>0.5</v>
      </c>
    </row>
    <row r="292" spans="1:6" x14ac:dyDescent="0.2">
      <c r="A292" s="45" t="s">
        <v>86</v>
      </c>
      <c r="B292" s="24" t="s">
        <v>7</v>
      </c>
      <c r="C292" s="24" t="s">
        <v>52</v>
      </c>
      <c r="D292" s="24" t="s">
        <v>561</v>
      </c>
      <c r="E292" s="2" t="s">
        <v>82</v>
      </c>
      <c r="F292" s="43">
        <v>0.5</v>
      </c>
    </row>
    <row r="293" spans="1:6" ht="30.75" customHeight="1" x14ac:dyDescent="0.2">
      <c r="A293" s="45" t="s">
        <v>562</v>
      </c>
      <c r="B293" s="24" t="s">
        <v>7</v>
      </c>
      <c r="C293" s="24" t="s">
        <v>52</v>
      </c>
      <c r="D293" s="24" t="s">
        <v>541</v>
      </c>
      <c r="E293" s="2"/>
      <c r="F293" s="43">
        <f>F294</f>
        <v>7949.5</v>
      </c>
    </row>
    <row r="294" spans="1:6" ht="30" x14ac:dyDescent="0.2">
      <c r="A294" s="45" t="s">
        <v>563</v>
      </c>
      <c r="B294" s="24" t="s">
        <v>7</v>
      </c>
      <c r="C294" s="24" t="s">
        <v>52</v>
      </c>
      <c r="D294" s="24" t="s">
        <v>542</v>
      </c>
      <c r="E294" s="2"/>
      <c r="F294" s="43">
        <f>F295</f>
        <v>7949.5</v>
      </c>
    </row>
    <row r="295" spans="1:6" ht="30" x14ac:dyDescent="0.2">
      <c r="A295" s="45" t="s">
        <v>83</v>
      </c>
      <c r="B295" s="24" t="s">
        <v>7</v>
      </c>
      <c r="C295" s="24" t="s">
        <v>52</v>
      </c>
      <c r="D295" s="24" t="s">
        <v>542</v>
      </c>
      <c r="E295" s="2" t="s">
        <v>81</v>
      </c>
      <c r="F295" s="43">
        <v>7949.5</v>
      </c>
    </row>
    <row r="296" spans="1:6" ht="30" x14ac:dyDescent="0.2">
      <c r="A296" s="45" t="s">
        <v>490</v>
      </c>
      <c r="B296" s="24" t="s">
        <v>7</v>
      </c>
      <c r="C296" s="24" t="s">
        <v>52</v>
      </c>
      <c r="D296" s="24" t="s">
        <v>280</v>
      </c>
      <c r="E296" s="2"/>
      <c r="F296" s="22">
        <f>F297</f>
        <v>241.2</v>
      </c>
    </row>
    <row r="297" spans="1:6" ht="30" x14ac:dyDescent="0.2">
      <c r="A297" s="44" t="s">
        <v>145</v>
      </c>
      <c r="B297" s="24" t="s">
        <v>7</v>
      </c>
      <c r="C297" s="24" t="s">
        <v>52</v>
      </c>
      <c r="D297" s="24" t="s">
        <v>281</v>
      </c>
      <c r="E297" s="2"/>
      <c r="F297" s="22">
        <f>F298</f>
        <v>241.2</v>
      </c>
    </row>
    <row r="298" spans="1:6" ht="30" x14ac:dyDescent="0.2">
      <c r="A298" s="45" t="s">
        <v>326</v>
      </c>
      <c r="B298" s="24" t="s">
        <v>7</v>
      </c>
      <c r="C298" s="24" t="s">
        <v>52</v>
      </c>
      <c r="D298" s="24" t="s">
        <v>282</v>
      </c>
      <c r="E298" s="2"/>
      <c r="F298" s="22">
        <f>F299</f>
        <v>241.2</v>
      </c>
    </row>
    <row r="299" spans="1:6" x14ac:dyDescent="0.2">
      <c r="A299" s="45" t="s">
        <v>74</v>
      </c>
      <c r="B299" s="24" t="s">
        <v>7</v>
      </c>
      <c r="C299" s="24" t="s">
        <v>52</v>
      </c>
      <c r="D299" s="24" t="s">
        <v>286</v>
      </c>
      <c r="E299" s="2"/>
      <c r="F299" s="22">
        <f>F300</f>
        <v>241.2</v>
      </c>
    </row>
    <row r="300" spans="1:6" x14ac:dyDescent="0.2">
      <c r="A300" s="45" t="s">
        <v>86</v>
      </c>
      <c r="B300" s="24" t="s">
        <v>7</v>
      </c>
      <c r="C300" s="24" t="s">
        <v>52</v>
      </c>
      <c r="D300" s="24" t="s">
        <v>286</v>
      </c>
      <c r="E300" s="2" t="s">
        <v>82</v>
      </c>
      <c r="F300" s="43">
        <v>241.2</v>
      </c>
    </row>
    <row r="301" spans="1:6" x14ac:dyDescent="0.2">
      <c r="A301" s="45"/>
      <c r="C301" s="2"/>
      <c r="D301" s="2"/>
      <c r="E301" s="2"/>
      <c r="F301" s="16"/>
    </row>
    <row r="302" spans="1:6" ht="28.5" x14ac:dyDescent="0.2">
      <c r="A302" s="15" t="s">
        <v>26</v>
      </c>
      <c r="B302" s="13" t="s">
        <v>12</v>
      </c>
      <c r="C302" s="13"/>
      <c r="D302" s="13"/>
      <c r="E302" s="13"/>
      <c r="F302" s="14">
        <f>F303+F315</f>
        <v>261864.40000000005</v>
      </c>
    </row>
    <row r="303" spans="1:6" ht="30.75" customHeight="1" x14ac:dyDescent="0.2">
      <c r="A303" s="15" t="s">
        <v>27</v>
      </c>
      <c r="B303" s="13" t="s">
        <v>12</v>
      </c>
      <c r="C303" s="13" t="s">
        <v>28</v>
      </c>
      <c r="D303" s="2"/>
      <c r="E303" s="2"/>
      <c r="F303" s="18">
        <f>F304</f>
        <v>48750.499999999993</v>
      </c>
    </row>
    <row r="304" spans="1:6" s="29" customFormat="1" x14ac:dyDescent="0.2">
      <c r="A304" s="26" t="s">
        <v>95</v>
      </c>
      <c r="B304" s="24" t="s">
        <v>12</v>
      </c>
      <c r="C304" s="24" t="s">
        <v>28</v>
      </c>
      <c r="D304" s="24" t="s">
        <v>102</v>
      </c>
      <c r="E304" s="24"/>
      <c r="F304" s="27">
        <f>F305+F310</f>
        <v>48750.499999999993</v>
      </c>
    </row>
    <row r="305" spans="1:6" x14ac:dyDescent="0.2">
      <c r="A305" s="25" t="s">
        <v>29</v>
      </c>
      <c r="B305" s="2" t="s">
        <v>12</v>
      </c>
      <c r="C305" s="2" t="s">
        <v>28</v>
      </c>
      <c r="D305" s="2" t="s">
        <v>353</v>
      </c>
      <c r="E305" s="2"/>
      <c r="F305" s="16">
        <f>F306</f>
        <v>47902.299999999996</v>
      </c>
    </row>
    <row r="306" spans="1:6" x14ac:dyDescent="0.2">
      <c r="A306" s="1" t="s">
        <v>25</v>
      </c>
      <c r="B306" s="2" t="s">
        <v>12</v>
      </c>
      <c r="C306" s="2" t="s">
        <v>28</v>
      </c>
      <c r="D306" s="2" t="s">
        <v>354</v>
      </c>
      <c r="E306" s="2"/>
      <c r="F306" s="16">
        <f>SUM(F307:F309)</f>
        <v>47902.299999999996</v>
      </c>
    </row>
    <row r="307" spans="1:6" ht="60" x14ac:dyDescent="0.2">
      <c r="A307" s="45" t="s">
        <v>84</v>
      </c>
      <c r="B307" s="2" t="s">
        <v>12</v>
      </c>
      <c r="C307" s="2" t="s">
        <v>28</v>
      </c>
      <c r="D307" s="2" t="s">
        <v>354</v>
      </c>
      <c r="E307" s="2" t="s">
        <v>80</v>
      </c>
      <c r="F307" s="16">
        <f>31671.2+4240</f>
        <v>35911.199999999997</v>
      </c>
    </row>
    <row r="308" spans="1:6" ht="30" x14ac:dyDescent="0.2">
      <c r="A308" s="45" t="s">
        <v>83</v>
      </c>
      <c r="B308" s="2" t="s">
        <v>12</v>
      </c>
      <c r="C308" s="2" t="s">
        <v>28</v>
      </c>
      <c r="D308" s="2" t="s">
        <v>354</v>
      </c>
      <c r="E308" s="2" t="s">
        <v>81</v>
      </c>
      <c r="F308" s="16">
        <f>3775.4+5325.3+2808.7</f>
        <v>11909.400000000001</v>
      </c>
    </row>
    <row r="309" spans="1:6" x14ac:dyDescent="0.2">
      <c r="A309" s="45" t="s">
        <v>86</v>
      </c>
      <c r="B309" s="2" t="s">
        <v>12</v>
      </c>
      <c r="C309" s="2" t="s">
        <v>28</v>
      </c>
      <c r="D309" s="2" t="s">
        <v>354</v>
      </c>
      <c r="E309" s="2" t="s">
        <v>82</v>
      </c>
      <c r="F309" s="16">
        <v>81.7</v>
      </c>
    </row>
    <row r="310" spans="1:6" ht="30" x14ac:dyDescent="0.2">
      <c r="A310" s="42" t="s">
        <v>78</v>
      </c>
      <c r="B310" s="24" t="s">
        <v>12</v>
      </c>
      <c r="C310" s="24" t="s">
        <v>28</v>
      </c>
      <c r="D310" s="2" t="s">
        <v>113</v>
      </c>
      <c r="E310" s="2"/>
      <c r="F310" s="16">
        <f>F311+F313</f>
        <v>848.2</v>
      </c>
    </row>
    <row r="311" spans="1:6" ht="49.5" customHeight="1" x14ac:dyDescent="0.2">
      <c r="A311" s="45" t="s">
        <v>645</v>
      </c>
      <c r="B311" s="2" t="s">
        <v>12</v>
      </c>
      <c r="C311" s="2" t="s">
        <v>28</v>
      </c>
      <c r="D311" s="2" t="s">
        <v>644</v>
      </c>
      <c r="E311" s="2"/>
      <c r="F311" s="16">
        <f>F312</f>
        <v>676.2</v>
      </c>
    </row>
    <row r="312" spans="1:6" ht="30" x14ac:dyDescent="0.2">
      <c r="A312" s="45" t="s">
        <v>83</v>
      </c>
      <c r="B312" s="2" t="s">
        <v>12</v>
      </c>
      <c r="C312" s="2" t="s">
        <v>28</v>
      </c>
      <c r="D312" s="2" t="s">
        <v>644</v>
      </c>
      <c r="E312" s="2" t="s">
        <v>81</v>
      </c>
      <c r="F312" s="16">
        <v>676.2</v>
      </c>
    </row>
    <row r="313" spans="1:6" ht="33" customHeight="1" x14ac:dyDescent="0.2">
      <c r="A313" s="45" t="s">
        <v>618</v>
      </c>
      <c r="B313" s="2" t="s">
        <v>12</v>
      </c>
      <c r="C313" s="2" t="s">
        <v>28</v>
      </c>
      <c r="D313" s="2" t="s">
        <v>673</v>
      </c>
      <c r="E313" s="2"/>
      <c r="F313" s="16">
        <f>F314</f>
        <v>172</v>
      </c>
    </row>
    <row r="314" spans="1:6" x14ac:dyDescent="0.2">
      <c r="A314" s="45" t="s">
        <v>86</v>
      </c>
      <c r="B314" s="2" t="s">
        <v>12</v>
      </c>
      <c r="C314" s="2" t="s">
        <v>28</v>
      </c>
      <c r="D314" s="2" t="s">
        <v>673</v>
      </c>
      <c r="E314" s="2" t="s">
        <v>82</v>
      </c>
      <c r="F314" s="16">
        <v>172</v>
      </c>
    </row>
    <row r="315" spans="1:6" s="35" customFormat="1" ht="28.5" x14ac:dyDescent="0.2">
      <c r="A315" s="15" t="s">
        <v>147</v>
      </c>
      <c r="B315" s="32" t="s">
        <v>12</v>
      </c>
      <c r="C315" s="32" t="s">
        <v>57</v>
      </c>
      <c r="D315" s="32"/>
      <c r="E315" s="32"/>
      <c r="F315" s="18">
        <f>F316</f>
        <v>213113.90000000005</v>
      </c>
    </row>
    <row r="316" spans="1:6" ht="30" x14ac:dyDescent="0.2">
      <c r="A316" s="45" t="s">
        <v>410</v>
      </c>
      <c r="B316" s="24" t="s">
        <v>12</v>
      </c>
      <c r="C316" s="24" t="s">
        <v>57</v>
      </c>
      <c r="D316" s="24" t="s">
        <v>409</v>
      </c>
      <c r="E316" s="2"/>
      <c r="F316" s="22">
        <f>F317</f>
        <v>213113.90000000005</v>
      </c>
    </row>
    <row r="317" spans="1:6" ht="33.75" customHeight="1" x14ac:dyDescent="0.2">
      <c r="A317" s="42" t="s">
        <v>415</v>
      </c>
      <c r="B317" s="24" t="s">
        <v>12</v>
      </c>
      <c r="C317" s="24" t="s">
        <v>57</v>
      </c>
      <c r="D317" s="24" t="s">
        <v>411</v>
      </c>
      <c r="E317" s="2"/>
      <c r="F317" s="22">
        <f>F318</f>
        <v>213113.90000000005</v>
      </c>
    </row>
    <row r="318" spans="1:6" ht="30" x14ac:dyDescent="0.2">
      <c r="A318" s="45" t="s">
        <v>413</v>
      </c>
      <c r="B318" s="24" t="s">
        <v>12</v>
      </c>
      <c r="C318" s="24" t="s">
        <v>57</v>
      </c>
      <c r="D318" s="24" t="s">
        <v>414</v>
      </c>
      <c r="E318" s="2"/>
      <c r="F318" s="16">
        <f>SUM(F319:F320)</f>
        <v>213113.90000000005</v>
      </c>
    </row>
    <row r="319" spans="1:6" ht="60" x14ac:dyDescent="0.2">
      <c r="A319" s="45" t="s">
        <v>84</v>
      </c>
      <c r="B319" s="24" t="s">
        <v>12</v>
      </c>
      <c r="C319" s="24" t="s">
        <v>57</v>
      </c>
      <c r="D319" s="2" t="s">
        <v>414</v>
      </c>
      <c r="E319" s="2" t="s">
        <v>80</v>
      </c>
      <c r="F319" s="16">
        <f>132512.2+15798.2+39356.7+23299.7</f>
        <v>210966.80000000005</v>
      </c>
    </row>
    <row r="320" spans="1:6" ht="30" x14ac:dyDescent="0.2">
      <c r="A320" s="45" t="s">
        <v>83</v>
      </c>
      <c r="B320" s="24" t="s">
        <v>12</v>
      </c>
      <c r="C320" s="24" t="s">
        <v>57</v>
      </c>
      <c r="D320" s="2" t="s">
        <v>414</v>
      </c>
      <c r="E320" s="2" t="s">
        <v>81</v>
      </c>
      <c r="F320" s="16">
        <f>481.9+1665.2</f>
        <v>2147.1</v>
      </c>
    </row>
    <row r="321" spans="1:7" x14ac:dyDescent="0.2">
      <c r="A321" s="45"/>
      <c r="C321" s="2"/>
      <c r="D321" s="2"/>
      <c r="E321" s="2"/>
      <c r="F321" s="16"/>
    </row>
    <row r="322" spans="1:7" x14ac:dyDescent="0.2">
      <c r="A322" s="12" t="s">
        <v>30</v>
      </c>
      <c r="B322" s="13" t="s">
        <v>15</v>
      </c>
      <c r="C322" s="13"/>
      <c r="D322" s="13"/>
      <c r="E322" s="13"/>
      <c r="F322" s="14">
        <f>F323+F332+F337+F351+F369</f>
        <v>2139057.2000000002</v>
      </c>
    </row>
    <row r="323" spans="1:7" s="35" customFormat="1" ht="14.25" x14ac:dyDescent="0.2">
      <c r="A323" s="50" t="s">
        <v>87</v>
      </c>
      <c r="B323" s="32" t="s">
        <v>15</v>
      </c>
      <c r="C323" s="32" t="s">
        <v>34</v>
      </c>
      <c r="D323" s="32"/>
      <c r="E323" s="32"/>
      <c r="F323" s="21">
        <f>F324+F328</f>
        <v>18999.2</v>
      </c>
    </row>
    <row r="324" spans="1:7" ht="31.5" customHeight="1" x14ac:dyDescent="0.2">
      <c r="A324" s="45" t="s">
        <v>120</v>
      </c>
      <c r="B324" s="2" t="s">
        <v>15</v>
      </c>
      <c r="C324" s="2" t="s">
        <v>34</v>
      </c>
      <c r="D324" s="2" t="s">
        <v>121</v>
      </c>
      <c r="E324" s="2"/>
      <c r="F324" s="22">
        <f>F325</f>
        <v>16175</v>
      </c>
    </row>
    <row r="325" spans="1:7" ht="31.5" customHeight="1" x14ac:dyDescent="0.2">
      <c r="A325" s="45" t="s">
        <v>122</v>
      </c>
      <c r="B325" s="2" t="s">
        <v>15</v>
      </c>
      <c r="C325" s="2" t="s">
        <v>34</v>
      </c>
      <c r="D325" s="2" t="s">
        <v>148</v>
      </c>
      <c r="E325" s="2"/>
      <c r="F325" s="22">
        <f>F326</f>
        <v>16175</v>
      </c>
    </row>
    <row r="326" spans="1:7" ht="77.25" customHeight="1" x14ac:dyDescent="0.2">
      <c r="A326" s="26" t="s">
        <v>767</v>
      </c>
      <c r="B326" s="2" t="s">
        <v>15</v>
      </c>
      <c r="C326" s="2" t="s">
        <v>34</v>
      </c>
      <c r="D326" s="2" t="s">
        <v>149</v>
      </c>
      <c r="E326" s="2"/>
      <c r="F326" s="22">
        <f>F327</f>
        <v>16175</v>
      </c>
    </row>
    <row r="327" spans="1:7" x14ac:dyDescent="0.2">
      <c r="A327" s="45" t="s">
        <v>86</v>
      </c>
      <c r="B327" s="2" t="s">
        <v>15</v>
      </c>
      <c r="C327" s="2" t="s">
        <v>34</v>
      </c>
      <c r="D327" s="2" t="s">
        <v>149</v>
      </c>
      <c r="E327" s="2" t="s">
        <v>82</v>
      </c>
      <c r="F327" s="22">
        <v>16175</v>
      </c>
    </row>
    <row r="328" spans="1:7" x14ac:dyDescent="0.2">
      <c r="A328" s="26" t="s">
        <v>95</v>
      </c>
      <c r="B328" s="2" t="s">
        <v>15</v>
      </c>
      <c r="C328" s="2" t="s">
        <v>34</v>
      </c>
      <c r="D328" s="2" t="s">
        <v>102</v>
      </c>
      <c r="E328" s="2"/>
      <c r="F328" s="22">
        <f>F329</f>
        <v>2824.2</v>
      </c>
    </row>
    <row r="329" spans="1:7" ht="30" x14ac:dyDescent="0.2">
      <c r="A329" s="42" t="s">
        <v>78</v>
      </c>
      <c r="B329" s="2" t="s">
        <v>15</v>
      </c>
      <c r="C329" s="2" t="s">
        <v>34</v>
      </c>
      <c r="D329" s="2" t="s">
        <v>113</v>
      </c>
      <c r="E329" s="2"/>
      <c r="F329" s="22">
        <f>F330</f>
        <v>2824.2</v>
      </c>
    </row>
    <row r="330" spans="1:7" ht="45" x14ac:dyDescent="0.2">
      <c r="A330" s="45" t="s">
        <v>672</v>
      </c>
      <c r="B330" s="2" t="s">
        <v>15</v>
      </c>
      <c r="C330" s="2" t="s">
        <v>34</v>
      </c>
      <c r="D330" s="2" t="s">
        <v>671</v>
      </c>
      <c r="E330" s="2"/>
      <c r="F330" s="22">
        <f>F331</f>
        <v>2824.2</v>
      </c>
    </row>
    <row r="331" spans="1:7" x14ac:dyDescent="0.2">
      <c r="A331" s="45" t="s">
        <v>86</v>
      </c>
      <c r="B331" s="2" t="s">
        <v>15</v>
      </c>
      <c r="C331" s="2" t="s">
        <v>34</v>
      </c>
      <c r="D331" s="2" t="s">
        <v>671</v>
      </c>
      <c r="E331" s="2" t="s">
        <v>82</v>
      </c>
      <c r="F331" s="22">
        <v>2824.2</v>
      </c>
    </row>
    <row r="332" spans="1:7" s="35" customFormat="1" ht="14.25" x14ac:dyDescent="0.2">
      <c r="A332" s="50" t="s">
        <v>391</v>
      </c>
      <c r="B332" s="32" t="s">
        <v>15</v>
      </c>
      <c r="C332" s="32" t="s">
        <v>17</v>
      </c>
      <c r="D332" s="32"/>
      <c r="E332" s="32"/>
      <c r="F332" s="21">
        <f>F333</f>
        <v>5932.7</v>
      </c>
    </row>
    <row r="333" spans="1:7" x14ac:dyDescent="0.2">
      <c r="A333" s="26" t="s">
        <v>95</v>
      </c>
      <c r="B333" s="2" t="s">
        <v>15</v>
      </c>
      <c r="C333" s="2" t="s">
        <v>17</v>
      </c>
      <c r="D333" s="2" t="s">
        <v>102</v>
      </c>
      <c r="E333" s="2"/>
      <c r="F333" s="22">
        <f>F334</f>
        <v>5932.7</v>
      </c>
      <c r="G333" s="16"/>
    </row>
    <row r="334" spans="1:7" x14ac:dyDescent="0.2">
      <c r="A334" s="45" t="s">
        <v>392</v>
      </c>
      <c r="B334" s="2" t="s">
        <v>15</v>
      </c>
      <c r="C334" s="2" t="s">
        <v>17</v>
      </c>
      <c r="D334" s="2" t="s">
        <v>393</v>
      </c>
      <c r="E334" s="2"/>
      <c r="F334" s="22">
        <f>SUM(F335:F336)</f>
        <v>5932.7</v>
      </c>
    </row>
    <row r="335" spans="1:7" ht="30" x14ac:dyDescent="0.2">
      <c r="A335" s="45" t="s">
        <v>83</v>
      </c>
      <c r="B335" s="2" t="s">
        <v>15</v>
      </c>
      <c r="C335" s="2" t="s">
        <v>17</v>
      </c>
      <c r="D335" s="2" t="s">
        <v>393</v>
      </c>
      <c r="E335" s="2" t="s">
        <v>81</v>
      </c>
      <c r="F335" s="22">
        <v>1922</v>
      </c>
    </row>
    <row r="336" spans="1:7" x14ac:dyDescent="0.2">
      <c r="A336" s="45" t="s">
        <v>86</v>
      </c>
      <c r="B336" s="2" t="s">
        <v>15</v>
      </c>
      <c r="C336" s="2" t="s">
        <v>17</v>
      </c>
      <c r="D336" s="2" t="s">
        <v>393</v>
      </c>
      <c r="E336" s="2" t="s">
        <v>82</v>
      </c>
      <c r="F336" s="22">
        <v>4010.7</v>
      </c>
    </row>
    <row r="337" spans="1:6" x14ac:dyDescent="0.2">
      <c r="A337" s="12" t="s">
        <v>31</v>
      </c>
      <c r="B337" s="13" t="s">
        <v>15</v>
      </c>
      <c r="C337" s="13" t="s">
        <v>32</v>
      </c>
      <c r="D337" s="13"/>
      <c r="E337" s="13"/>
      <c r="F337" s="18">
        <f>F347+F338+F343</f>
        <v>516045.3</v>
      </c>
    </row>
    <row r="338" spans="1:6" ht="45" x14ac:dyDescent="0.2">
      <c r="A338" s="45" t="s">
        <v>676</v>
      </c>
      <c r="B338" s="2" t="s">
        <v>15</v>
      </c>
      <c r="C338" s="2" t="s">
        <v>32</v>
      </c>
      <c r="D338" s="52" t="s">
        <v>674</v>
      </c>
      <c r="E338" s="2"/>
      <c r="F338" s="16">
        <f>F339</f>
        <v>43464.3</v>
      </c>
    </row>
    <row r="339" spans="1:6" ht="30" x14ac:dyDescent="0.2">
      <c r="A339" s="45" t="s">
        <v>677</v>
      </c>
      <c r="B339" s="2" t="s">
        <v>15</v>
      </c>
      <c r="C339" s="2" t="s">
        <v>32</v>
      </c>
      <c r="D339" s="52" t="s">
        <v>675</v>
      </c>
      <c r="E339" s="2"/>
      <c r="F339" s="16">
        <f>F340</f>
        <v>43464.3</v>
      </c>
    </row>
    <row r="340" spans="1:6" ht="45" x14ac:dyDescent="0.2">
      <c r="A340" s="45" t="s">
        <v>678</v>
      </c>
      <c r="B340" s="2" t="s">
        <v>15</v>
      </c>
      <c r="C340" s="2" t="s">
        <v>32</v>
      </c>
      <c r="D340" s="52" t="s">
        <v>738</v>
      </c>
      <c r="E340" s="2"/>
      <c r="F340" s="16">
        <f>SUM(F341:F342)</f>
        <v>43464.3</v>
      </c>
    </row>
    <row r="341" spans="1:6" ht="30" x14ac:dyDescent="0.2">
      <c r="A341" s="45" t="s">
        <v>83</v>
      </c>
      <c r="B341" s="2" t="s">
        <v>15</v>
      </c>
      <c r="C341" s="2" t="s">
        <v>32</v>
      </c>
      <c r="D341" s="52" t="s">
        <v>738</v>
      </c>
      <c r="E341" s="2" t="s">
        <v>81</v>
      </c>
      <c r="F341" s="16">
        <f>4313.5</f>
        <v>4313.5</v>
      </c>
    </row>
    <row r="342" spans="1:6" x14ac:dyDescent="0.2">
      <c r="A342" s="45" t="s">
        <v>86</v>
      </c>
      <c r="B342" s="2" t="s">
        <v>739</v>
      </c>
      <c r="C342" s="2" t="s">
        <v>32</v>
      </c>
      <c r="D342" s="52" t="s">
        <v>738</v>
      </c>
      <c r="E342" s="2" t="s">
        <v>82</v>
      </c>
      <c r="F342" s="16">
        <v>39150.800000000003</v>
      </c>
    </row>
    <row r="343" spans="1:6" ht="30" x14ac:dyDescent="0.2">
      <c r="A343" s="45" t="s">
        <v>683</v>
      </c>
      <c r="B343" s="2" t="s">
        <v>15</v>
      </c>
      <c r="C343" s="2" t="s">
        <v>32</v>
      </c>
      <c r="D343" s="52" t="s">
        <v>679</v>
      </c>
      <c r="E343" s="2"/>
      <c r="F343" s="16">
        <f>F344</f>
        <v>292900</v>
      </c>
    </row>
    <row r="344" spans="1:6" ht="75" x14ac:dyDescent="0.2">
      <c r="A344" s="45" t="s">
        <v>684</v>
      </c>
      <c r="B344" s="2" t="s">
        <v>15</v>
      </c>
      <c r="C344" s="2" t="s">
        <v>32</v>
      </c>
      <c r="D344" s="52" t="s">
        <v>680</v>
      </c>
      <c r="E344" s="2"/>
      <c r="F344" s="16">
        <f>F345</f>
        <v>292900</v>
      </c>
    </row>
    <row r="345" spans="1:6" ht="30" x14ac:dyDescent="0.2">
      <c r="A345" s="45" t="s">
        <v>682</v>
      </c>
      <c r="B345" s="2" t="s">
        <v>15</v>
      </c>
      <c r="C345" s="2" t="s">
        <v>32</v>
      </c>
      <c r="D345" s="52" t="s">
        <v>681</v>
      </c>
      <c r="E345" s="2"/>
      <c r="F345" s="16">
        <f>F346</f>
        <v>292900</v>
      </c>
    </row>
    <row r="346" spans="1:6" x14ac:dyDescent="0.2">
      <c r="A346" s="45" t="s">
        <v>86</v>
      </c>
      <c r="B346" s="2" t="s">
        <v>15</v>
      </c>
      <c r="C346" s="2" t="s">
        <v>32</v>
      </c>
      <c r="D346" s="52" t="s">
        <v>681</v>
      </c>
      <c r="E346" s="2" t="s">
        <v>82</v>
      </c>
      <c r="F346" s="16">
        <f>290000+2900</f>
        <v>292900</v>
      </c>
    </row>
    <row r="347" spans="1:6" x14ac:dyDescent="0.2">
      <c r="A347" s="26" t="s">
        <v>95</v>
      </c>
      <c r="B347" s="2" t="s">
        <v>15</v>
      </c>
      <c r="C347" s="2" t="s">
        <v>32</v>
      </c>
      <c r="D347" s="2" t="s">
        <v>102</v>
      </c>
      <c r="E347" s="2"/>
      <c r="F347" s="16">
        <f>F348</f>
        <v>179681</v>
      </c>
    </row>
    <row r="348" spans="1:6" x14ac:dyDescent="0.2">
      <c r="A348" s="51" t="s">
        <v>150</v>
      </c>
      <c r="B348" s="2" t="s">
        <v>15</v>
      </c>
      <c r="C348" s="2" t="s">
        <v>32</v>
      </c>
      <c r="D348" s="52" t="s">
        <v>418</v>
      </c>
      <c r="E348" s="2"/>
      <c r="F348" s="16">
        <f>F349+F350</f>
        <v>179681</v>
      </c>
    </row>
    <row r="349" spans="1:6" ht="30" x14ac:dyDescent="0.2">
      <c r="A349" s="45" t="s">
        <v>83</v>
      </c>
      <c r="B349" s="2" t="s">
        <v>15</v>
      </c>
      <c r="C349" s="2" t="s">
        <v>32</v>
      </c>
      <c r="D349" s="52" t="s">
        <v>418</v>
      </c>
      <c r="E349" s="2" t="s">
        <v>81</v>
      </c>
      <c r="F349" s="16">
        <v>600</v>
      </c>
    </row>
    <row r="350" spans="1:6" x14ac:dyDescent="0.2">
      <c r="A350" s="45" t="s">
        <v>86</v>
      </c>
      <c r="B350" s="2" t="s">
        <v>15</v>
      </c>
      <c r="C350" s="2" t="s">
        <v>32</v>
      </c>
      <c r="D350" s="52" t="s">
        <v>418</v>
      </c>
      <c r="E350" s="2" t="s">
        <v>82</v>
      </c>
      <c r="F350" s="16">
        <f>179681-600</f>
        <v>179081</v>
      </c>
    </row>
    <row r="351" spans="1:6" x14ac:dyDescent="0.2">
      <c r="A351" s="41" t="s">
        <v>101</v>
      </c>
      <c r="B351" s="32" t="s">
        <v>15</v>
      </c>
      <c r="C351" s="32" t="s">
        <v>28</v>
      </c>
      <c r="D351" s="32"/>
      <c r="E351" s="32"/>
      <c r="F351" s="21">
        <f>F352+F356+F366</f>
        <v>1480142.9000000001</v>
      </c>
    </row>
    <row r="352" spans="1:6" x14ac:dyDescent="0.2">
      <c r="A352" s="26" t="s">
        <v>95</v>
      </c>
      <c r="B352" s="2" t="s">
        <v>15</v>
      </c>
      <c r="C352" s="2" t="s">
        <v>28</v>
      </c>
      <c r="D352" s="2" t="s">
        <v>102</v>
      </c>
      <c r="E352" s="32"/>
      <c r="F352" s="43">
        <f>F353</f>
        <v>20000</v>
      </c>
    </row>
    <row r="353" spans="1:6" s="29" customFormat="1" ht="30" x14ac:dyDescent="0.2">
      <c r="A353" s="28" t="s">
        <v>78</v>
      </c>
      <c r="B353" s="24" t="s">
        <v>15</v>
      </c>
      <c r="C353" s="24" t="s">
        <v>28</v>
      </c>
      <c r="D353" s="24" t="s">
        <v>113</v>
      </c>
      <c r="E353" s="24"/>
      <c r="F353" s="43">
        <f>F354</f>
        <v>20000</v>
      </c>
    </row>
    <row r="354" spans="1:6" s="29" customFormat="1" ht="30" customHeight="1" x14ac:dyDescent="0.2">
      <c r="A354" s="28" t="s">
        <v>659</v>
      </c>
      <c r="B354" s="24" t="s">
        <v>15</v>
      </c>
      <c r="C354" s="24" t="s">
        <v>28</v>
      </c>
      <c r="D354" s="24" t="s">
        <v>658</v>
      </c>
      <c r="E354" s="24"/>
      <c r="F354" s="43">
        <f>F355</f>
        <v>20000</v>
      </c>
    </row>
    <row r="355" spans="1:6" s="29" customFormat="1" ht="30" x14ac:dyDescent="0.2">
      <c r="A355" s="45" t="s">
        <v>83</v>
      </c>
      <c r="B355" s="24" t="s">
        <v>15</v>
      </c>
      <c r="C355" s="24" t="s">
        <v>28</v>
      </c>
      <c r="D355" s="24" t="s">
        <v>658</v>
      </c>
      <c r="E355" s="24" t="s">
        <v>81</v>
      </c>
      <c r="F355" s="43">
        <v>20000</v>
      </c>
    </row>
    <row r="356" spans="1:6" ht="30" x14ac:dyDescent="0.2">
      <c r="A356" s="28" t="s">
        <v>151</v>
      </c>
      <c r="B356" s="2" t="s">
        <v>15</v>
      </c>
      <c r="C356" s="2" t="s">
        <v>28</v>
      </c>
      <c r="D356" s="24" t="s">
        <v>152</v>
      </c>
      <c r="E356" s="2"/>
      <c r="F356" s="16">
        <f>F357+F360+F363</f>
        <v>1389152.6</v>
      </c>
    </row>
    <row r="357" spans="1:6" x14ac:dyDescent="0.2">
      <c r="A357" s="45" t="s">
        <v>633</v>
      </c>
      <c r="B357" s="2" t="s">
        <v>15</v>
      </c>
      <c r="C357" s="2" t="s">
        <v>28</v>
      </c>
      <c r="D357" s="24" t="s">
        <v>634</v>
      </c>
      <c r="E357" s="2"/>
      <c r="F357" s="16">
        <f>F358</f>
        <v>3089</v>
      </c>
    </row>
    <row r="358" spans="1:6" x14ac:dyDescent="0.2">
      <c r="A358" s="45" t="s">
        <v>635</v>
      </c>
      <c r="B358" s="2" t="s">
        <v>15</v>
      </c>
      <c r="C358" s="2" t="s">
        <v>28</v>
      </c>
      <c r="D358" s="24" t="s">
        <v>636</v>
      </c>
      <c r="E358" s="2"/>
      <c r="F358" s="16">
        <f>F359</f>
        <v>3089</v>
      </c>
    </row>
    <row r="359" spans="1:6" ht="30" x14ac:dyDescent="0.2">
      <c r="A359" s="28" t="s">
        <v>615</v>
      </c>
      <c r="B359" s="2" t="s">
        <v>15</v>
      </c>
      <c r="C359" s="2" t="s">
        <v>28</v>
      </c>
      <c r="D359" s="24" t="s">
        <v>636</v>
      </c>
      <c r="E359" s="2" t="s">
        <v>616</v>
      </c>
      <c r="F359" s="16">
        <f>2189+900</f>
        <v>3089</v>
      </c>
    </row>
    <row r="360" spans="1:6" ht="30" x14ac:dyDescent="0.2">
      <c r="A360" s="28" t="s">
        <v>622</v>
      </c>
      <c r="B360" s="23" t="s">
        <v>15</v>
      </c>
      <c r="C360" s="23" t="s">
        <v>28</v>
      </c>
      <c r="D360" s="24" t="s">
        <v>623</v>
      </c>
      <c r="E360" s="24"/>
      <c r="F360" s="43">
        <f>F361</f>
        <v>12773.3</v>
      </c>
    </row>
    <row r="361" spans="1:6" x14ac:dyDescent="0.2">
      <c r="A361" s="28" t="s">
        <v>624</v>
      </c>
      <c r="B361" s="23" t="s">
        <v>15</v>
      </c>
      <c r="C361" s="23" t="s">
        <v>28</v>
      </c>
      <c r="D361" s="24" t="s">
        <v>625</v>
      </c>
      <c r="E361" s="24"/>
      <c r="F361" s="43">
        <f>F362</f>
        <v>12773.3</v>
      </c>
    </row>
    <row r="362" spans="1:6" ht="30" x14ac:dyDescent="0.2">
      <c r="A362" s="45" t="s">
        <v>83</v>
      </c>
      <c r="B362" s="23" t="s">
        <v>15</v>
      </c>
      <c r="C362" s="23" t="s">
        <v>28</v>
      </c>
      <c r="D362" s="24" t="s">
        <v>625</v>
      </c>
      <c r="E362" s="24" t="s">
        <v>81</v>
      </c>
      <c r="F362" s="43">
        <f>2906.9+36.4+8478+1352</f>
        <v>12773.3</v>
      </c>
    </row>
    <row r="363" spans="1:6" ht="30" x14ac:dyDescent="0.2">
      <c r="A363" s="45" t="s">
        <v>366</v>
      </c>
      <c r="B363" s="2" t="s">
        <v>15</v>
      </c>
      <c r="C363" s="2" t="s">
        <v>28</v>
      </c>
      <c r="D363" s="24" t="s">
        <v>158</v>
      </c>
      <c r="E363" s="2"/>
      <c r="F363" s="22">
        <f>F364</f>
        <v>1373290.3</v>
      </c>
    </row>
    <row r="364" spans="1:6" ht="45" x14ac:dyDescent="0.2">
      <c r="A364" s="45" t="s">
        <v>365</v>
      </c>
      <c r="B364" s="2" t="s">
        <v>15</v>
      </c>
      <c r="C364" s="2" t="s">
        <v>28</v>
      </c>
      <c r="D364" s="24" t="s">
        <v>333</v>
      </c>
      <c r="E364" s="2"/>
      <c r="F364" s="16">
        <f>F365</f>
        <v>1373290.3</v>
      </c>
    </row>
    <row r="365" spans="1:6" ht="30" x14ac:dyDescent="0.2">
      <c r="A365" s="45" t="s">
        <v>83</v>
      </c>
      <c r="B365" s="2" t="s">
        <v>15</v>
      </c>
      <c r="C365" s="2" t="s">
        <v>28</v>
      </c>
      <c r="D365" s="24" t="s">
        <v>333</v>
      </c>
      <c r="E365" s="2" t="s">
        <v>81</v>
      </c>
      <c r="F365" s="16">
        <f>1339826+2072.5+9420.2+450+281.6+19040+2200</f>
        <v>1373290.3</v>
      </c>
    </row>
    <row r="366" spans="1:6" ht="30" x14ac:dyDescent="0.2">
      <c r="A366" s="28" t="s">
        <v>419</v>
      </c>
      <c r="B366" s="23" t="s">
        <v>15</v>
      </c>
      <c r="C366" s="23" t="s">
        <v>28</v>
      </c>
      <c r="D366" s="24" t="s">
        <v>420</v>
      </c>
      <c r="E366" s="24"/>
      <c r="F366" s="43">
        <f>F367</f>
        <v>70990.3</v>
      </c>
    </row>
    <row r="367" spans="1:6" ht="30" x14ac:dyDescent="0.2">
      <c r="A367" s="45" t="s">
        <v>421</v>
      </c>
      <c r="B367" s="2" t="s">
        <v>15</v>
      </c>
      <c r="C367" s="2" t="s">
        <v>28</v>
      </c>
      <c r="D367" s="2" t="s">
        <v>422</v>
      </c>
      <c r="E367" s="2"/>
      <c r="F367" s="16">
        <f>F368</f>
        <v>70990.3</v>
      </c>
    </row>
    <row r="368" spans="1:6" ht="30" x14ac:dyDescent="0.2">
      <c r="A368" s="45" t="s">
        <v>83</v>
      </c>
      <c r="B368" s="2" t="s">
        <v>15</v>
      </c>
      <c r="C368" s="2" t="s">
        <v>28</v>
      </c>
      <c r="D368" s="2" t="s">
        <v>422</v>
      </c>
      <c r="E368" s="2" t="s">
        <v>81</v>
      </c>
      <c r="F368" s="16">
        <f>65700+5290.3</f>
        <v>70990.3</v>
      </c>
    </row>
    <row r="369" spans="1:6" s="29" customFormat="1" x14ac:dyDescent="0.2">
      <c r="A369" s="45" t="s">
        <v>583</v>
      </c>
      <c r="B369" s="24" t="s">
        <v>15</v>
      </c>
      <c r="C369" s="24" t="s">
        <v>479</v>
      </c>
      <c r="D369" s="24"/>
      <c r="E369" s="24"/>
      <c r="F369" s="27">
        <f>F370+F375+F385</f>
        <v>117937.1</v>
      </c>
    </row>
    <row r="370" spans="1:6" s="29" customFormat="1" ht="45" x14ac:dyDescent="0.2">
      <c r="A370" s="45" t="s">
        <v>670</v>
      </c>
      <c r="B370" s="24" t="s">
        <v>15</v>
      </c>
      <c r="C370" s="24" t="s">
        <v>479</v>
      </c>
      <c r="D370" s="24" t="s">
        <v>663</v>
      </c>
      <c r="E370" s="24"/>
      <c r="F370" s="27">
        <f>F371</f>
        <v>15765.3</v>
      </c>
    </row>
    <row r="371" spans="1:6" s="29" customFormat="1" ht="36" customHeight="1" x14ac:dyDescent="0.2">
      <c r="A371" s="45" t="s">
        <v>669</v>
      </c>
      <c r="B371" s="24" t="s">
        <v>15</v>
      </c>
      <c r="C371" s="24" t="s">
        <v>479</v>
      </c>
      <c r="D371" s="24" t="s">
        <v>664</v>
      </c>
      <c r="E371" s="24"/>
      <c r="F371" s="27">
        <f>F372</f>
        <v>15765.3</v>
      </c>
    </row>
    <row r="372" spans="1:6" s="29" customFormat="1" ht="45" x14ac:dyDescent="0.2">
      <c r="A372" s="45" t="s">
        <v>668</v>
      </c>
      <c r="B372" s="24" t="s">
        <v>15</v>
      </c>
      <c r="C372" s="24" t="s">
        <v>479</v>
      </c>
      <c r="D372" s="24" t="s">
        <v>665</v>
      </c>
      <c r="E372" s="24"/>
      <c r="F372" s="27">
        <f>F373</f>
        <v>15765.3</v>
      </c>
    </row>
    <row r="373" spans="1:6" s="29" customFormat="1" ht="30" x14ac:dyDescent="0.2">
      <c r="A373" s="51" t="s">
        <v>745</v>
      </c>
      <c r="B373" s="24" t="s">
        <v>15</v>
      </c>
      <c r="C373" s="24" t="s">
        <v>479</v>
      </c>
      <c r="D373" s="24" t="s">
        <v>736</v>
      </c>
      <c r="E373" s="24"/>
      <c r="F373" s="27">
        <f>F374</f>
        <v>15765.3</v>
      </c>
    </row>
    <row r="374" spans="1:6" s="29" customFormat="1" ht="30" x14ac:dyDescent="0.2">
      <c r="A374" s="1" t="s">
        <v>88</v>
      </c>
      <c r="B374" s="24" t="s">
        <v>15</v>
      </c>
      <c r="C374" s="24" t="s">
        <v>479</v>
      </c>
      <c r="D374" s="24" t="s">
        <v>736</v>
      </c>
      <c r="E374" s="24" t="s">
        <v>85</v>
      </c>
      <c r="F374" s="27">
        <v>15765.3</v>
      </c>
    </row>
    <row r="375" spans="1:6" s="29" customFormat="1" x14ac:dyDescent="0.2">
      <c r="A375" s="45" t="s">
        <v>95</v>
      </c>
      <c r="B375" s="24" t="s">
        <v>15</v>
      </c>
      <c r="C375" s="24" t="s">
        <v>479</v>
      </c>
      <c r="D375" s="24" t="s">
        <v>102</v>
      </c>
      <c r="E375" s="24"/>
      <c r="F375" s="27">
        <f>F378+F380+F376</f>
        <v>69031.600000000006</v>
      </c>
    </row>
    <row r="376" spans="1:6" s="29" customFormat="1" x14ac:dyDescent="0.2">
      <c r="A376" s="45" t="s">
        <v>614</v>
      </c>
      <c r="B376" s="24" t="s">
        <v>15</v>
      </c>
      <c r="C376" s="24" t="s">
        <v>479</v>
      </c>
      <c r="D376" s="24" t="s">
        <v>617</v>
      </c>
      <c r="E376" s="24"/>
      <c r="F376" s="27">
        <f>F377</f>
        <v>48000</v>
      </c>
    </row>
    <row r="377" spans="1:6" s="29" customFormat="1" ht="30" x14ac:dyDescent="0.2">
      <c r="A377" s="28" t="s">
        <v>615</v>
      </c>
      <c r="B377" s="24" t="s">
        <v>15</v>
      </c>
      <c r="C377" s="24" t="s">
        <v>479</v>
      </c>
      <c r="D377" s="24" t="s">
        <v>617</v>
      </c>
      <c r="E377" s="24" t="s">
        <v>616</v>
      </c>
      <c r="F377" s="27">
        <v>48000</v>
      </c>
    </row>
    <row r="378" spans="1:6" s="29" customFormat="1" x14ac:dyDescent="0.2">
      <c r="A378" s="45" t="s">
        <v>484</v>
      </c>
      <c r="B378" s="24" t="s">
        <v>15</v>
      </c>
      <c r="C378" s="24" t="s">
        <v>479</v>
      </c>
      <c r="D378" s="24" t="s">
        <v>480</v>
      </c>
      <c r="E378" s="24"/>
      <c r="F378" s="27">
        <f>F379</f>
        <v>950</v>
      </c>
    </row>
    <row r="379" spans="1:6" s="29" customFormat="1" ht="30" x14ac:dyDescent="0.2">
      <c r="A379" s="45" t="s">
        <v>83</v>
      </c>
      <c r="B379" s="24" t="s">
        <v>15</v>
      </c>
      <c r="C379" s="24" t="s">
        <v>479</v>
      </c>
      <c r="D379" s="24" t="s">
        <v>480</v>
      </c>
      <c r="E379" s="24" t="s">
        <v>81</v>
      </c>
      <c r="F379" s="27">
        <v>950</v>
      </c>
    </row>
    <row r="380" spans="1:6" s="29" customFormat="1" ht="30" x14ac:dyDescent="0.2">
      <c r="A380" s="45" t="s">
        <v>78</v>
      </c>
      <c r="B380" s="24" t="s">
        <v>15</v>
      </c>
      <c r="C380" s="24" t="s">
        <v>479</v>
      </c>
      <c r="D380" s="52" t="s">
        <v>113</v>
      </c>
      <c r="E380" s="2"/>
      <c r="F380" s="27">
        <f>F383+F381</f>
        <v>20081.599999999999</v>
      </c>
    </row>
    <row r="381" spans="1:6" s="29" customFormat="1" ht="28.5" customHeight="1" x14ac:dyDescent="0.2">
      <c r="A381" s="45" t="s">
        <v>655</v>
      </c>
      <c r="B381" s="24" t="s">
        <v>15</v>
      </c>
      <c r="C381" s="24" t="s">
        <v>479</v>
      </c>
      <c r="D381" s="52" t="s">
        <v>654</v>
      </c>
      <c r="E381" s="2"/>
      <c r="F381" s="27">
        <f>F382</f>
        <v>2931</v>
      </c>
    </row>
    <row r="382" spans="1:6" s="29" customFormat="1" ht="30" x14ac:dyDescent="0.2">
      <c r="A382" s="45" t="s">
        <v>83</v>
      </c>
      <c r="B382" s="24" t="s">
        <v>15</v>
      </c>
      <c r="C382" s="24" t="s">
        <v>479</v>
      </c>
      <c r="D382" s="52" t="s">
        <v>654</v>
      </c>
      <c r="E382" s="2" t="s">
        <v>81</v>
      </c>
      <c r="F382" s="27">
        <v>2931</v>
      </c>
    </row>
    <row r="383" spans="1:6" s="29" customFormat="1" x14ac:dyDescent="0.2">
      <c r="A383" s="45" t="s">
        <v>499</v>
      </c>
      <c r="B383" s="24" t="s">
        <v>15</v>
      </c>
      <c r="C383" s="24" t="s">
        <v>479</v>
      </c>
      <c r="D383" s="52" t="s">
        <v>498</v>
      </c>
      <c r="E383" s="2"/>
      <c r="F383" s="27">
        <f>F384</f>
        <v>17150.599999999999</v>
      </c>
    </row>
    <row r="384" spans="1:6" s="29" customFormat="1" ht="30" x14ac:dyDescent="0.2">
      <c r="A384" s="45" t="s">
        <v>83</v>
      </c>
      <c r="B384" s="24" t="s">
        <v>15</v>
      </c>
      <c r="C384" s="24" t="s">
        <v>479</v>
      </c>
      <c r="D384" s="52" t="s">
        <v>498</v>
      </c>
      <c r="E384" s="2" t="s">
        <v>81</v>
      </c>
      <c r="F384" s="27">
        <f>8575.3+8575.3</f>
        <v>17150.599999999999</v>
      </c>
    </row>
    <row r="385" spans="1:6" s="29" customFormat="1" ht="30" x14ac:dyDescent="0.2">
      <c r="A385" s="45" t="s">
        <v>487</v>
      </c>
      <c r="B385" s="24" t="s">
        <v>15</v>
      </c>
      <c r="C385" s="24" t="s">
        <v>479</v>
      </c>
      <c r="D385" s="24" t="s">
        <v>481</v>
      </c>
      <c r="E385" s="24"/>
      <c r="F385" s="27">
        <f>F386</f>
        <v>33140.199999999997</v>
      </c>
    </row>
    <row r="386" spans="1:6" s="29" customFormat="1" ht="30" x14ac:dyDescent="0.2">
      <c r="A386" s="45" t="s">
        <v>368</v>
      </c>
      <c r="B386" s="24" t="s">
        <v>15</v>
      </c>
      <c r="C386" s="24" t="s">
        <v>479</v>
      </c>
      <c r="D386" s="24" t="s">
        <v>482</v>
      </c>
      <c r="E386" s="24"/>
      <c r="F386" s="27">
        <f>F387</f>
        <v>33140.199999999997</v>
      </c>
    </row>
    <row r="387" spans="1:6" s="29" customFormat="1" ht="45" x14ac:dyDescent="0.2">
      <c r="A387" s="45" t="s">
        <v>485</v>
      </c>
      <c r="B387" s="24" t="s">
        <v>15</v>
      </c>
      <c r="C387" s="24" t="s">
        <v>479</v>
      </c>
      <c r="D387" s="24" t="s">
        <v>483</v>
      </c>
      <c r="E387" s="24"/>
      <c r="F387" s="27">
        <f>F388</f>
        <v>33140.199999999997</v>
      </c>
    </row>
    <row r="388" spans="1:6" s="29" customFormat="1" x14ac:dyDescent="0.2">
      <c r="A388" s="45" t="s">
        <v>86</v>
      </c>
      <c r="B388" s="24" t="s">
        <v>15</v>
      </c>
      <c r="C388" s="24" t="s">
        <v>479</v>
      </c>
      <c r="D388" s="24" t="s">
        <v>483</v>
      </c>
      <c r="E388" s="24" t="s">
        <v>82</v>
      </c>
      <c r="F388" s="27">
        <v>33140.199999999997</v>
      </c>
    </row>
    <row r="389" spans="1:6" s="29" customFormat="1" x14ac:dyDescent="0.2">
      <c r="A389" s="45"/>
      <c r="B389" s="24"/>
      <c r="C389" s="24"/>
      <c r="D389" s="24"/>
      <c r="E389" s="24"/>
      <c r="F389" s="27"/>
    </row>
    <row r="390" spans="1:6" x14ac:dyDescent="0.2">
      <c r="A390" s="12" t="s">
        <v>33</v>
      </c>
      <c r="B390" s="13" t="s">
        <v>34</v>
      </c>
      <c r="C390" s="13"/>
      <c r="D390" s="13"/>
      <c r="E390" s="13"/>
      <c r="F390" s="14">
        <f>F391+F415+F430+F470</f>
        <v>2187198.5099999998</v>
      </c>
    </row>
    <row r="391" spans="1:6" x14ac:dyDescent="0.2">
      <c r="A391" s="12" t="s">
        <v>35</v>
      </c>
      <c r="B391" s="13" t="s">
        <v>34</v>
      </c>
      <c r="C391" s="13" t="s">
        <v>7</v>
      </c>
      <c r="D391" s="13"/>
      <c r="E391" s="13"/>
      <c r="F391" s="18">
        <f>F392+F397+F404</f>
        <v>686956.21</v>
      </c>
    </row>
    <row r="392" spans="1:6" ht="45" x14ac:dyDescent="0.2">
      <c r="A392" s="28" t="s">
        <v>153</v>
      </c>
      <c r="B392" s="24" t="s">
        <v>34</v>
      </c>
      <c r="C392" s="24" t="s">
        <v>7</v>
      </c>
      <c r="D392" s="24" t="s">
        <v>154</v>
      </c>
      <c r="E392" s="24"/>
      <c r="F392" s="27">
        <f>F393</f>
        <v>581136.9</v>
      </c>
    </row>
    <row r="393" spans="1:6" ht="60" x14ac:dyDescent="0.2">
      <c r="A393" s="28" t="s">
        <v>155</v>
      </c>
      <c r="B393" s="24" t="s">
        <v>34</v>
      </c>
      <c r="C393" s="24" t="s">
        <v>7</v>
      </c>
      <c r="D393" s="24" t="s">
        <v>156</v>
      </c>
      <c r="E393" s="24"/>
      <c r="F393" s="27">
        <f>F394</f>
        <v>581136.9</v>
      </c>
    </row>
    <row r="394" spans="1:6" ht="32.25" customHeight="1" x14ac:dyDescent="0.2">
      <c r="A394" s="28" t="s">
        <v>325</v>
      </c>
      <c r="B394" s="24" t="s">
        <v>34</v>
      </c>
      <c r="C394" s="24" t="s">
        <v>7</v>
      </c>
      <c r="D394" s="24" t="s">
        <v>324</v>
      </c>
      <c r="E394" s="24"/>
      <c r="F394" s="27">
        <f>F395</f>
        <v>581136.9</v>
      </c>
    </row>
    <row r="395" spans="1:6" ht="60" x14ac:dyDescent="0.2">
      <c r="A395" s="28" t="s">
        <v>362</v>
      </c>
      <c r="B395" s="24" t="s">
        <v>34</v>
      </c>
      <c r="C395" s="24" t="s">
        <v>7</v>
      </c>
      <c r="D395" s="24" t="s">
        <v>157</v>
      </c>
      <c r="E395" s="24"/>
      <c r="F395" s="27">
        <f>F396</f>
        <v>581136.9</v>
      </c>
    </row>
    <row r="396" spans="1:6" ht="31.5" customHeight="1" x14ac:dyDescent="0.2">
      <c r="A396" s="1" t="s">
        <v>88</v>
      </c>
      <c r="B396" s="24" t="s">
        <v>34</v>
      </c>
      <c r="C396" s="24" t="s">
        <v>7</v>
      </c>
      <c r="D396" s="24" t="s">
        <v>157</v>
      </c>
      <c r="E396" s="24" t="s">
        <v>85</v>
      </c>
      <c r="F396" s="27">
        <f>290887+290249.9</f>
        <v>581136.9</v>
      </c>
    </row>
    <row r="397" spans="1:6" x14ac:dyDescent="0.2">
      <c r="A397" s="26" t="s">
        <v>95</v>
      </c>
      <c r="B397" s="24" t="s">
        <v>34</v>
      </c>
      <c r="C397" s="24" t="s">
        <v>7</v>
      </c>
      <c r="D397" s="24" t="s">
        <v>102</v>
      </c>
      <c r="E397" s="24"/>
      <c r="F397" s="27">
        <f>F398+F400</f>
        <v>23454.61</v>
      </c>
    </row>
    <row r="398" spans="1:6" ht="31.5" customHeight="1" x14ac:dyDescent="0.2">
      <c r="A398" s="1" t="s">
        <v>639</v>
      </c>
      <c r="B398" s="24" t="s">
        <v>34</v>
      </c>
      <c r="C398" s="24" t="s">
        <v>7</v>
      </c>
      <c r="D398" s="24" t="s">
        <v>638</v>
      </c>
      <c r="E398" s="24"/>
      <c r="F398" s="27">
        <f>F399</f>
        <v>5058.2</v>
      </c>
    </row>
    <row r="399" spans="1:6" ht="30" x14ac:dyDescent="0.2">
      <c r="A399" s="45" t="s">
        <v>83</v>
      </c>
      <c r="B399" s="24" t="s">
        <v>34</v>
      </c>
      <c r="C399" s="24" t="s">
        <v>7</v>
      </c>
      <c r="D399" s="24" t="s">
        <v>638</v>
      </c>
      <c r="E399" s="24" t="s">
        <v>81</v>
      </c>
      <c r="F399" s="27">
        <v>5058.2</v>
      </c>
    </row>
    <row r="400" spans="1:6" x14ac:dyDescent="0.2">
      <c r="A400" s="45" t="s">
        <v>762</v>
      </c>
      <c r="B400" s="24" t="s">
        <v>34</v>
      </c>
      <c r="C400" s="24" t="s">
        <v>7</v>
      </c>
      <c r="D400" s="24" t="s">
        <v>763</v>
      </c>
      <c r="E400" s="24"/>
      <c r="F400" s="27">
        <f>F401</f>
        <v>18396.41</v>
      </c>
    </row>
    <row r="401" spans="1:6" ht="18.75" customHeight="1" x14ac:dyDescent="0.2">
      <c r="A401" s="45" t="s">
        <v>764</v>
      </c>
      <c r="B401" s="24" t="s">
        <v>34</v>
      </c>
      <c r="C401" s="24" t="s">
        <v>7</v>
      </c>
      <c r="D401" s="24" t="s">
        <v>765</v>
      </c>
      <c r="E401" s="24"/>
      <c r="F401" s="27">
        <f>F402</f>
        <v>18396.41</v>
      </c>
    </row>
    <row r="402" spans="1:6" ht="47.25" customHeight="1" x14ac:dyDescent="0.2">
      <c r="A402" s="45" t="s">
        <v>364</v>
      </c>
      <c r="B402" s="24" t="s">
        <v>34</v>
      </c>
      <c r="C402" s="24" t="s">
        <v>7</v>
      </c>
      <c r="D402" s="24" t="s">
        <v>766</v>
      </c>
      <c r="E402" s="24"/>
      <c r="F402" s="27">
        <f>F403</f>
        <v>18396.41</v>
      </c>
    </row>
    <row r="403" spans="1:6" x14ac:dyDescent="0.2">
      <c r="A403" s="45" t="s">
        <v>86</v>
      </c>
      <c r="B403" s="24" t="s">
        <v>34</v>
      </c>
      <c r="C403" s="24" t="s">
        <v>7</v>
      </c>
      <c r="D403" s="24" t="s">
        <v>766</v>
      </c>
      <c r="E403" s="24" t="s">
        <v>82</v>
      </c>
      <c r="F403" s="79">
        <v>18396.41</v>
      </c>
    </row>
    <row r="404" spans="1:6" ht="30" x14ac:dyDescent="0.2">
      <c r="A404" s="60" t="s">
        <v>329</v>
      </c>
      <c r="B404" s="24" t="s">
        <v>34</v>
      </c>
      <c r="C404" s="24" t="s">
        <v>7</v>
      </c>
      <c r="D404" s="24" t="s">
        <v>330</v>
      </c>
      <c r="E404" s="24"/>
      <c r="F404" s="27">
        <f>F405+F408</f>
        <v>82364.7</v>
      </c>
    </row>
    <row r="405" spans="1:6" ht="30" x14ac:dyDescent="0.2">
      <c r="A405" s="60" t="s">
        <v>334</v>
      </c>
      <c r="B405" s="24" t="s">
        <v>34</v>
      </c>
      <c r="C405" s="24" t="s">
        <v>7</v>
      </c>
      <c r="D405" s="24" t="s">
        <v>335</v>
      </c>
      <c r="E405" s="24"/>
      <c r="F405" s="27">
        <f>F406</f>
        <v>78562</v>
      </c>
    </row>
    <row r="406" spans="1:6" ht="45" x14ac:dyDescent="0.2">
      <c r="A406" s="25" t="s">
        <v>364</v>
      </c>
      <c r="B406" s="2" t="s">
        <v>34</v>
      </c>
      <c r="C406" s="2" t="s">
        <v>7</v>
      </c>
      <c r="D406" s="24" t="s">
        <v>336</v>
      </c>
      <c r="E406" s="2"/>
      <c r="F406" s="16">
        <f>F407</f>
        <v>78562</v>
      </c>
    </row>
    <row r="407" spans="1:6" ht="30" x14ac:dyDescent="0.2">
      <c r="A407" s="45" t="s">
        <v>83</v>
      </c>
      <c r="B407" s="2" t="s">
        <v>34</v>
      </c>
      <c r="C407" s="2" t="s">
        <v>7</v>
      </c>
      <c r="D407" s="24" t="s">
        <v>336</v>
      </c>
      <c r="E407" s="2" t="s">
        <v>81</v>
      </c>
      <c r="F407" s="16">
        <f>75000+1572+1990</f>
        <v>78562</v>
      </c>
    </row>
    <row r="408" spans="1:6" ht="30" x14ac:dyDescent="0.2">
      <c r="A408" s="25" t="s">
        <v>337</v>
      </c>
      <c r="B408" s="2" t="s">
        <v>34</v>
      </c>
      <c r="C408" s="2" t="s">
        <v>7</v>
      </c>
      <c r="D408" s="24" t="s">
        <v>331</v>
      </c>
      <c r="E408" s="2"/>
      <c r="F408" s="16">
        <f>F409+F413+F411</f>
        <v>3802.7</v>
      </c>
    </row>
    <row r="409" spans="1:6" ht="30" x14ac:dyDescent="0.2">
      <c r="A409" s="25" t="s">
        <v>338</v>
      </c>
      <c r="B409" s="2" t="s">
        <v>34</v>
      </c>
      <c r="C409" s="2" t="s">
        <v>7</v>
      </c>
      <c r="D409" s="24" t="s">
        <v>339</v>
      </c>
      <c r="E409" s="2"/>
      <c r="F409" s="16">
        <f>F410</f>
        <v>1742.7</v>
      </c>
    </row>
    <row r="410" spans="1:6" ht="30" x14ac:dyDescent="0.2">
      <c r="A410" s="45" t="s">
        <v>83</v>
      </c>
      <c r="B410" s="2" t="s">
        <v>34</v>
      </c>
      <c r="C410" s="2" t="s">
        <v>7</v>
      </c>
      <c r="D410" s="24" t="s">
        <v>339</v>
      </c>
      <c r="E410" s="2" t="s">
        <v>81</v>
      </c>
      <c r="F410" s="16">
        <v>1742.7</v>
      </c>
    </row>
    <row r="411" spans="1:6" x14ac:dyDescent="0.2">
      <c r="A411" s="45" t="s">
        <v>686</v>
      </c>
      <c r="B411" s="2" t="s">
        <v>34</v>
      </c>
      <c r="C411" s="2" t="s">
        <v>7</v>
      </c>
      <c r="D411" s="24" t="s">
        <v>685</v>
      </c>
      <c r="E411" s="2"/>
      <c r="F411" s="16">
        <f>F412</f>
        <v>1500</v>
      </c>
    </row>
    <row r="412" spans="1:6" ht="30" x14ac:dyDescent="0.2">
      <c r="A412" s="45" t="s">
        <v>83</v>
      </c>
      <c r="B412" s="2" t="s">
        <v>34</v>
      </c>
      <c r="C412" s="2" t="s">
        <v>7</v>
      </c>
      <c r="D412" s="24" t="s">
        <v>685</v>
      </c>
      <c r="E412" s="2" t="s">
        <v>81</v>
      </c>
      <c r="F412" s="16">
        <v>1500</v>
      </c>
    </row>
    <row r="413" spans="1:6" x14ac:dyDescent="0.2">
      <c r="A413" s="45" t="s">
        <v>642</v>
      </c>
      <c r="B413" s="2" t="s">
        <v>34</v>
      </c>
      <c r="C413" s="2" t="s">
        <v>7</v>
      </c>
      <c r="D413" s="24" t="s">
        <v>643</v>
      </c>
      <c r="E413" s="2"/>
      <c r="F413" s="16">
        <f>F414</f>
        <v>560</v>
      </c>
    </row>
    <row r="414" spans="1:6" ht="30" x14ac:dyDescent="0.2">
      <c r="A414" s="45" t="s">
        <v>83</v>
      </c>
      <c r="B414" s="2" t="s">
        <v>34</v>
      </c>
      <c r="C414" s="2" t="s">
        <v>7</v>
      </c>
      <c r="D414" s="24" t="s">
        <v>643</v>
      </c>
      <c r="E414" s="2" t="s">
        <v>81</v>
      </c>
      <c r="F414" s="16">
        <f>500+60</f>
        <v>560</v>
      </c>
    </row>
    <row r="415" spans="1:6" s="35" customFormat="1" ht="18.75" customHeight="1" x14ac:dyDescent="0.2">
      <c r="A415" s="50" t="s">
        <v>394</v>
      </c>
      <c r="B415" s="32" t="s">
        <v>34</v>
      </c>
      <c r="C415" s="32" t="s">
        <v>9</v>
      </c>
      <c r="D415" s="32"/>
      <c r="E415" s="32"/>
      <c r="F415" s="18">
        <f>F416+F420+F426</f>
        <v>365307.8</v>
      </c>
    </row>
    <row r="416" spans="1:6" s="35" customFormat="1" ht="45" x14ac:dyDescent="0.2">
      <c r="A416" s="1" t="s">
        <v>626</v>
      </c>
      <c r="B416" s="2" t="s">
        <v>34</v>
      </c>
      <c r="C416" s="2" t="s">
        <v>9</v>
      </c>
      <c r="D416" s="2" t="s">
        <v>154</v>
      </c>
      <c r="E416" s="2"/>
      <c r="F416" s="16">
        <f>F417</f>
        <v>354576.8</v>
      </c>
    </row>
    <row r="417" spans="1:6" s="35" customFormat="1" ht="64.5" customHeight="1" x14ac:dyDescent="0.2">
      <c r="A417" s="1" t="s">
        <v>627</v>
      </c>
      <c r="B417" s="2" t="s">
        <v>34</v>
      </c>
      <c r="C417" s="2" t="s">
        <v>9</v>
      </c>
      <c r="D417" s="2" t="s">
        <v>628</v>
      </c>
      <c r="E417" s="2"/>
      <c r="F417" s="16">
        <f>F418</f>
        <v>354576.8</v>
      </c>
    </row>
    <row r="418" spans="1:6" s="35" customFormat="1" ht="45" x14ac:dyDescent="0.2">
      <c r="A418" s="1" t="s">
        <v>629</v>
      </c>
      <c r="B418" s="2" t="s">
        <v>34</v>
      </c>
      <c r="C418" s="2" t="s">
        <v>9</v>
      </c>
      <c r="D418" s="2" t="s">
        <v>630</v>
      </c>
      <c r="E418" s="2"/>
      <c r="F418" s="16">
        <f>F419</f>
        <v>354576.8</v>
      </c>
    </row>
    <row r="419" spans="1:6" s="35" customFormat="1" ht="30" x14ac:dyDescent="0.2">
      <c r="A419" s="1" t="s">
        <v>615</v>
      </c>
      <c r="B419" s="2" t="s">
        <v>34</v>
      </c>
      <c r="C419" s="2" t="s">
        <v>9</v>
      </c>
      <c r="D419" s="2" t="s">
        <v>630</v>
      </c>
      <c r="E419" s="2" t="s">
        <v>616</v>
      </c>
      <c r="F419" s="16">
        <f>116000+200496.8+38080</f>
        <v>354576.8</v>
      </c>
    </row>
    <row r="420" spans="1:6" s="35" customFormat="1" ht="18.75" customHeight="1" x14ac:dyDescent="0.2">
      <c r="A420" s="45" t="s">
        <v>95</v>
      </c>
      <c r="B420" s="24" t="s">
        <v>34</v>
      </c>
      <c r="C420" s="24" t="s">
        <v>9</v>
      </c>
      <c r="D420" s="24" t="s">
        <v>102</v>
      </c>
      <c r="E420" s="24"/>
      <c r="F420" s="27">
        <f>F421</f>
        <v>7831</v>
      </c>
    </row>
    <row r="421" spans="1:6" s="35" customFormat="1" ht="18.75" customHeight="1" x14ac:dyDescent="0.2">
      <c r="A421" s="45" t="s">
        <v>24</v>
      </c>
      <c r="B421" s="24" t="s">
        <v>34</v>
      </c>
      <c r="C421" s="24" t="s">
        <v>9</v>
      </c>
      <c r="D421" s="24" t="s">
        <v>113</v>
      </c>
      <c r="E421" s="24"/>
      <c r="F421" s="27">
        <f>F422+F424</f>
        <v>7831</v>
      </c>
    </row>
    <row r="422" spans="1:6" s="35" customFormat="1" ht="18.75" customHeight="1" x14ac:dyDescent="0.2">
      <c r="A422" s="42" t="s">
        <v>620</v>
      </c>
      <c r="B422" s="24" t="s">
        <v>34</v>
      </c>
      <c r="C422" s="24" t="s">
        <v>9</v>
      </c>
      <c r="D422" s="24" t="s">
        <v>621</v>
      </c>
      <c r="E422" s="24"/>
      <c r="F422" s="27">
        <f>F423</f>
        <v>5400</v>
      </c>
    </row>
    <row r="423" spans="1:6" s="35" customFormat="1" ht="30" x14ac:dyDescent="0.2">
      <c r="A423" s="42" t="s">
        <v>83</v>
      </c>
      <c r="B423" s="24" t="s">
        <v>34</v>
      </c>
      <c r="C423" s="24" t="s">
        <v>9</v>
      </c>
      <c r="D423" s="24" t="s">
        <v>621</v>
      </c>
      <c r="E423" s="24" t="s">
        <v>81</v>
      </c>
      <c r="F423" s="27">
        <v>5400</v>
      </c>
    </row>
    <row r="424" spans="1:6" s="35" customFormat="1" x14ac:dyDescent="0.2">
      <c r="A424" s="75" t="s">
        <v>746</v>
      </c>
      <c r="B424" s="24" t="s">
        <v>34</v>
      </c>
      <c r="C424" s="24" t="s">
        <v>9</v>
      </c>
      <c r="D424" s="24" t="s">
        <v>743</v>
      </c>
      <c r="E424" s="24"/>
      <c r="F424" s="27">
        <f>F425</f>
        <v>2431</v>
      </c>
    </row>
    <row r="425" spans="1:6" s="35" customFormat="1" ht="30" x14ac:dyDescent="0.2">
      <c r="A425" s="42" t="s">
        <v>83</v>
      </c>
      <c r="B425" s="24" t="s">
        <v>34</v>
      </c>
      <c r="C425" s="24" t="s">
        <v>9</v>
      </c>
      <c r="D425" s="24" t="s">
        <v>743</v>
      </c>
      <c r="E425" s="24" t="s">
        <v>81</v>
      </c>
      <c r="F425" s="27">
        <f>24+2407</f>
        <v>2431</v>
      </c>
    </row>
    <row r="426" spans="1:6" ht="30" x14ac:dyDescent="0.2">
      <c r="A426" s="60" t="s">
        <v>329</v>
      </c>
      <c r="B426" s="24" t="s">
        <v>34</v>
      </c>
      <c r="C426" s="24" t="s">
        <v>9</v>
      </c>
      <c r="D426" s="24" t="s">
        <v>330</v>
      </c>
      <c r="E426" s="2"/>
      <c r="F426" s="16">
        <f>F427</f>
        <v>2900</v>
      </c>
    </row>
    <row r="427" spans="1:6" ht="30" x14ac:dyDescent="0.2">
      <c r="A427" s="25" t="s">
        <v>337</v>
      </c>
      <c r="B427" s="2" t="s">
        <v>34</v>
      </c>
      <c r="C427" s="2" t="s">
        <v>9</v>
      </c>
      <c r="D427" s="24" t="s">
        <v>331</v>
      </c>
      <c r="E427" s="2"/>
      <c r="F427" s="16">
        <f>F428</f>
        <v>2900</v>
      </c>
    </row>
    <row r="428" spans="1:6" x14ac:dyDescent="0.2">
      <c r="A428" s="45" t="s">
        <v>395</v>
      </c>
      <c r="B428" s="2" t="s">
        <v>34</v>
      </c>
      <c r="C428" s="2" t="s">
        <v>9</v>
      </c>
      <c r="D428" s="24" t="s">
        <v>396</v>
      </c>
      <c r="E428" s="2"/>
      <c r="F428" s="16">
        <f>F429</f>
        <v>2900</v>
      </c>
    </row>
    <row r="429" spans="1:6" x14ac:dyDescent="0.2">
      <c r="A429" s="45" t="s">
        <v>86</v>
      </c>
      <c r="B429" s="2" t="s">
        <v>34</v>
      </c>
      <c r="C429" s="2" t="s">
        <v>9</v>
      </c>
      <c r="D429" s="24" t="s">
        <v>396</v>
      </c>
      <c r="E429" s="2" t="s">
        <v>82</v>
      </c>
      <c r="F429" s="16">
        <v>2900</v>
      </c>
    </row>
    <row r="430" spans="1:6" x14ac:dyDescent="0.2">
      <c r="A430" s="30" t="s">
        <v>36</v>
      </c>
      <c r="B430" s="31" t="s">
        <v>34</v>
      </c>
      <c r="C430" s="31" t="s">
        <v>12</v>
      </c>
      <c r="D430" s="32"/>
      <c r="E430" s="31"/>
      <c r="F430" s="18">
        <f>F431+F444+F465</f>
        <v>1129119.5</v>
      </c>
    </row>
    <row r="431" spans="1:6" x14ac:dyDescent="0.2">
      <c r="A431" s="1" t="s">
        <v>95</v>
      </c>
      <c r="B431" s="2" t="s">
        <v>34</v>
      </c>
      <c r="C431" s="2" t="s">
        <v>12</v>
      </c>
      <c r="D431" s="2" t="s">
        <v>102</v>
      </c>
      <c r="E431" s="19"/>
      <c r="F431" s="16">
        <f>F432+F435+F437</f>
        <v>215639.7</v>
      </c>
    </row>
    <row r="432" spans="1:6" ht="30" x14ac:dyDescent="0.2">
      <c r="A432" s="1" t="s">
        <v>347</v>
      </c>
      <c r="B432" s="2" t="s">
        <v>34</v>
      </c>
      <c r="C432" s="2" t="s">
        <v>12</v>
      </c>
      <c r="D432" s="2" t="s">
        <v>609</v>
      </c>
      <c r="E432" s="19"/>
      <c r="F432" s="16">
        <f>F433+F434</f>
        <v>130483.2</v>
      </c>
    </row>
    <row r="433" spans="1:6" ht="30" x14ac:dyDescent="0.2">
      <c r="A433" s="1" t="s">
        <v>83</v>
      </c>
      <c r="B433" s="2" t="s">
        <v>34</v>
      </c>
      <c r="C433" s="2" t="s">
        <v>12</v>
      </c>
      <c r="D433" s="2" t="s">
        <v>609</v>
      </c>
      <c r="E433" s="20" t="s">
        <v>81</v>
      </c>
      <c r="F433" s="16">
        <f>21913.2+270+100000</f>
        <v>122183.2</v>
      </c>
    </row>
    <row r="434" spans="1:6" x14ac:dyDescent="0.2">
      <c r="A434" s="45" t="s">
        <v>86</v>
      </c>
      <c r="B434" s="2" t="s">
        <v>34</v>
      </c>
      <c r="C434" s="2" t="s">
        <v>12</v>
      </c>
      <c r="D434" s="2" t="s">
        <v>609</v>
      </c>
      <c r="E434" s="20" t="s">
        <v>82</v>
      </c>
      <c r="F434" s="16">
        <v>8300</v>
      </c>
    </row>
    <row r="435" spans="1:6" ht="30" x14ac:dyDescent="0.2">
      <c r="A435" s="1" t="s">
        <v>688</v>
      </c>
      <c r="B435" s="2" t="s">
        <v>34</v>
      </c>
      <c r="C435" s="2" t="s">
        <v>12</v>
      </c>
      <c r="D435" s="2" t="s">
        <v>687</v>
      </c>
      <c r="E435" s="20"/>
      <c r="F435" s="16">
        <f>F436</f>
        <v>57708</v>
      </c>
    </row>
    <row r="436" spans="1:6" ht="30" x14ac:dyDescent="0.2">
      <c r="A436" s="1" t="s">
        <v>83</v>
      </c>
      <c r="B436" s="2" t="s">
        <v>34</v>
      </c>
      <c r="C436" s="2" t="s">
        <v>12</v>
      </c>
      <c r="D436" s="2" t="s">
        <v>687</v>
      </c>
      <c r="E436" s="20" t="s">
        <v>81</v>
      </c>
      <c r="F436" s="16">
        <v>57708</v>
      </c>
    </row>
    <row r="437" spans="1:6" x14ac:dyDescent="0.2">
      <c r="A437" s="45" t="s">
        <v>24</v>
      </c>
      <c r="B437" s="2" t="s">
        <v>34</v>
      </c>
      <c r="C437" s="2" t="s">
        <v>12</v>
      </c>
      <c r="D437" s="2" t="s">
        <v>113</v>
      </c>
      <c r="E437" s="20"/>
      <c r="F437" s="16">
        <f>F438+F440+F442</f>
        <v>27448.5</v>
      </c>
    </row>
    <row r="438" spans="1:6" ht="45" x14ac:dyDescent="0.2">
      <c r="A438" s="1" t="s">
        <v>672</v>
      </c>
      <c r="B438" s="2" t="s">
        <v>34</v>
      </c>
      <c r="C438" s="2" t="s">
        <v>12</v>
      </c>
      <c r="D438" s="24" t="s">
        <v>671</v>
      </c>
      <c r="E438" s="24"/>
      <c r="F438" s="16">
        <f>F439</f>
        <v>5532</v>
      </c>
    </row>
    <row r="439" spans="1:6" ht="30" x14ac:dyDescent="0.2">
      <c r="A439" s="1" t="s">
        <v>83</v>
      </c>
      <c r="B439" s="2" t="s">
        <v>34</v>
      </c>
      <c r="C439" s="2" t="s">
        <v>12</v>
      </c>
      <c r="D439" s="24" t="s">
        <v>671</v>
      </c>
      <c r="E439" s="24" t="s">
        <v>81</v>
      </c>
      <c r="F439" s="16">
        <v>5532</v>
      </c>
    </row>
    <row r="440" spans="1:6" ht="30" x14ac:dyDescent="0.2">
      <c r="A440" s="1" t="s">
        <v>612</v>
      </c>
      <c r="B440" s="2" t="s">
        <v>34</v>
      </c>
      <c r="C440" s="2" t="s">
        <v>12</v>
      </c>
      <c r="D440" s="24" t="s">
        <v>613</v>
      </c>
      <c r="E440" s="24"/>
      <c r="F440" s="16">
        <f>F441</f>
        <v>20916.5</v>
      </c>
    </row>
    <row r="441" spans="1:6" ht="30" x14ac:dyDescent="0.2">
      <c r="A441" s="1" t="s">
        <v>83</v>
      </c>
      <c r="B441" s="2" t="s">
        <v>34</v>
      </c>
      <c r="C441" s="2" t="s">
        <v>12</v>
      </c>
      <c r="D441" s="24" t="s">
        <v>613</v>
      </c>
      <c r="E441" s="24" t="s">
        <v>81</v>
      </c>
      <c r="F441" s="16">
        <v>20916.5</v>
      </c>
    </row>
    <row r="442" spans="1:6" ht="45" x14ac:dyDescent="0.2">
      <c r="A442" s="1" t="s">
        <v>755</v>
      </c>
      <c r="B442" s="2" t="s">
        <v>34</v>
      </c>
      <c r="C442" s="2" t="s">
        <v>12</v>
      </c>
      <c r="D442" s="24" t="s">
        <v>741</v>
      </c>
      <c r="E442" s="24"/>
      <c r="F442" s="16">
        <f>F443</f>
        <v>1000</v>
      </c>
    </row>
    <row r="443" spans="1:6" ht="30" x14ac:dyDescent="0.2">
      <c r="A443" s="1" t="s">
        <v>83</v>
      </c>
      <c r="B443" s="2" t="s">
        <v>34</v>
      </c>
      <c r="C443" s="2" t="s">
        <v>12</v>
      </c>
      <c r="D443" s="24" t="s">
        <v>741</v>
      </c>
      <c r="E443" s="24" t="s">
        <v>81</v>
      </c>
      <c r="F443" s="16">
        <v>1000</v>
      </c>
    </row>
    <row r="444" spans="1:6" ht="30" x14ac:dyDescent="0.2">
      <c r="A444" s="28" t="s">
        <v>151</v>
      </c>
      <c r="B444" s="23" t="s">
        <v>34</v>
      </c>
      <c r="C444" s="23" t="s">
        <v>12</v>
      </c>
      <c r="D444" s="24" t="s">
        <v>152</v>
      </c>
      <c r="E444" s="31"/>
      <c r="F444" s="27">
        <f>F453+F450+F445</f>
        <v>912707.6</v>
      </c>
    </row>
    <row r="445" spans="1:6" x14ac:dyDescent="0.2">
      <c r="A445" s="28" t="s">
        <v>633</v>
      </c>
      <c r="B445" s="23" t="s">
        <v>34</v>
      </c>
      <c r="C445" s="23" t="s">
        <v>12</v>
      </c>
      <c r="D445" s="24" t="s">
        <v>634</v>
      </c>
      <c r="E445" s="31"/>
      <c r="F445" s="27">
        <f>F446+F448</f>
        <v>2917.6</v>
      </c>
    </row>
    <row r="446" spans="1:6" x14ac:dyDescent="0.2">
      <c r="A446" s="28" t="s">
        <v>341</v>
      </c>
      <c r="B446" s="23" t="s">
        <v>34</v>
      </c>
      <c r="C446" s="23" t="s">
        <v>12</v>
      </c>
      <c r="D446" s="24" t="s">
        <v>759</v>
      </c>
      <c r="E446" s="31"/>
      <c r="F446" s="27">
        <f>F447</f>
        <v>1067.3</v>
      </c>
    </row>
    <row r="447" spans="1:6" ht="30" x14ac:dyDescent="0.2">
      <c r="A447" s="1" t="s">
        <v>615</v>
      </c>
      <c r="B447" s="23" t="s">
        <v>34</v>
      </c>
      <c r="C447" s="23" t="s">
        <v>12</v>
      </c>
      <c r="D447" s="24" t="s">
        <v>759</v>
      </c>
      <c r="E447" s="23" t="s">
        <v>616</v>
      </c>
      <c r="F447" s="27">
        <v>1067.3</v>
      </c>
    </row>
    <row r="448" spans="1:6" ht="30" x14ac:dyDescent="0.2">
      <c r="A448" s="28" t="s">
        <v>347</v>
      </c>
      <c r="B448" s="23" t="s">
        <v>34</v>
      </c>
      <c r="C448" s="23" t="s">
        <v>12</v>
      </c>
      <c r="D448" s="24" t="s">
        <v>689</v>
      </c>
      <c r="E448" s="31"/>
      <c r="F448" s="27">
        <f>F449</f>
        <v>1850.3</v>
      </c>
    </row>
    <row r="449" spans="1:6" s="29" customFormat="1" ht="30" x14ac:dyDescent="0.2">
      <c r="A449" s="45" t="s">
        <v>83</v>
      </c>
      <c r="B449" s="23" t="s">
        <v>34</v>
      </c>
      <c r="C449" s="23" t="s">
        <v>12</v>
      </c>
      <c r="D449" s="24" t="s">
        <v>689</v>
      </c>
      <c r="E449" s="23" t="s">
        <v>81</v>
      </c>
      <c r="F449" s="27">
        <v>1850.3</v>
      </c>
    </row>
    <row r="450" spans="1:6" s="29" customFormat="1" ht="30" x14ac:dyDescent="0.2">
      <c r="A450" s="45" t="s">
        <v>622</v>
      </c>
      <c r="B450" s="23" t="s">
        <v>34</v>
      </c>
      <c r="C450" s="23" t="s">
        <v>12</v>
      </c>
      <c r="D450" s="24" t="s">
        <v>758</v>
      </c>
      <c r="E450" s="23"/>
      <c r="F450" s="27">
        <f>F451</f>
        <v>3026</v>
      </c>
    </row>
    <row r="451" spans="1:6" s="29" customFormat="1" ht="30" customHeight="1" x14ac:dyDescent="0.2">
      <c r="A451" s="45" t="s">
        <v>347</v>
      </c>
      <c r="B451" s="23" t="s">
        <v>34</v>
      </c>
      <c r="C451" s="23" t="s">
        <v>12</v>
      </c>
      <c r="D451" s="24" t="s">
        <v>757</v>
      </c>
      <c r="E451" s="23"/>
      <c r="F451" s="27">
        <f>F452</f>
        <v>3026</v>
      </c>
    </row>
    <row r="452" spans="1:6" s="29" customFormat="1" ht="30" x14ac:dyDescent="0.2">
      <c r="A452" s="45" t="s">
        <v>83</v>
      </c>
      <c r="B452" s="23" t="s">
        <v>34</v>
      </c>
      <c r="C452" s="23" t="s">
        <v>12</v>
      </c>
      <c r="D452" s="24" t="s">
        <v>757</v>
      </c>
      <c r="E452" s="23" t="s">
        <v>81</v>
      </c>
      <c r="F452" s="27">
        <v>3026</v>
      </c>
    </row>
    <row r="453" spans="1:6" ht="30" x14ac:dyDescent="0.2">
      <c r="A453" s="28" t="s">
        <v>340</v>
      </c>
      <c r="B453" s="23" t="s">
        <v>34</v>
      </c>
      <c r="C453" s="23" t="s">
        <v>12</v>
      </c>
      <c r="D453" s="24" t="s">
        <v>158</v>
      </c>
      <c r="E453" s="31"/>
      <c r="F453" s="27">
        <f>F454+F456+F458+F460+F463</f>
        <v>906764</v>
      </c>
    </row>
    <row r="454" spans="1:6" x14ac:dyDescent="0.2">
      <c r="A454" s="25" t="s">
        <v>341</v>
      </c>
      <c r="B454" s="20" t="s">
        <v>34</v>
      </c>
      <c r="C454" s="20" t="s">
        <v>12</v>
      </c>
      <c r="D454" s="24" t="s">
        <v>342</v>
      </c>
      <c r="E454" s="31"/>
      <c r="F454" s="27">
        <f>F455</f>
        <v>414050.39999999997</v>
      </c>
    </row>
    <row r="455" spans="1:6" ht="30" x14ac:dyDescent="0.2">
      <c r="A455" s="45" t="s">
        <v>83</v>
      </c>
      <c r="B455" s="2" t="s">
        <v>34</v>
      </c>
      <c r="C455" s="2" t="s">
        <v>12</v>
      </c>
      <c r="D455" s="24" t="s">
        <v>342</v>
      </c>
      <c r="E455" s="23" t="s">
        <v>81</v>
      </c>
      <c r="F455" s="27">
        <f>399752.8+14297.6</f>
        <v>414050.39999999997</v>
      </c>
    </row>
    <row r="456" spans="1:6" x14ac:dyDescent="0.2">
      <c r="A456" s="46" t="s">
        <v>343</v>
      </c>
      <c r="B456" s="23" t="s">
        <v>34</v>
      </c>
      <c r="C456" s="23" t="s">
        <v>12</v>
      </c>
      <c r="D456" s="24" t="s">
        <v>344</v>
      </c>
      <c r="E456" s="23"/>
      <c r="F456" s="27">
        <f>F457</f>
        <v>239690.6</v>
      </c>
    </row>
    <row r="457" spans="1:6" ht="30" x14ac:dyDescent="0.2">
      <c r="A457" s="45" t="s">
        <v>83</v>
      </c>
      <c r="B457" s="2" t="s">
        <v>34</v>
      </c>
      <c r="C457" s="2" t="s">
        <v>12</v>
      </c>
      <c r="D457" s="24" t="s">
        <v>344</v>
      </c>
      <c r="E457" s="23" t="s">
        <v>81</v>
      </c>
      <c r="F457" s="27">
        <f>84864-772.2+503.8+6237+20000+128858</f>
        <v>239690.6</v>
      </c>
    </row>
    <row r="458" spans="1:6" x14ac:dyDescent="0.2">
      <c r="A458" s="25" t="s">
        <v>345</v>
      </c>
      <c r="B458" s="20" t="s">
        <v>34</v>
      </c>
      <c r="C458" s="20" t="s">
        <v>12</v>
      </c>
      <c r="D458" s="24" t="s">
        <v>346</v>
      </c>
      <c r="E458" s="23"/>
      <c r="F458" s="27">
        <f>F459</f>
        <v>21104.6</v>
      </c>
    </row>
    <row r="459" spans="1:6" ht="30" x14ac:dyDescent="0.2">
      <c r="A459" s="45" t="s">
        <v>83</v>
      </c>
      <c r="B459" s="23" t="s">
        <v>34</v>
      </c>
      <c r="C459" s="23" t="s">
        <v>12</v>
      </c>
      <c r="D459" s="24" t="s">
        <v>346</v>
      </c>
      <c r="E459" s="23" t="s">
        <v>81</v>
      </c>
      <c r="F459" s="27">
        <v>21104.6</v>
      </c>
    </row>
    <row r="460" spans="1:6" ht="30" x14ac:dyDescent="0.2">
      <c r="A460" s="26" t="s">
        <v>347</v>
      </c>
      <c r="B460" s="20" t="s">
        <v>34</v>
      </c>
      <c r="C460" s="20" t="s">
        <v>12</v>
      </c>
      <c r="D460" s="24" t="s">
        <v>348</v>
      </c>
      <c r="E460" s="23"/>
      <c r="F460" s="27">
        <f>SUM(F461:F462)</f>
        <v>175335.4</v>
      </c>
    </row>
    <row r="461" spans="1:6" ht="30" x14ac:dyDescent="0.2">
      <c r="A461" s="45" t="s">
        <v>83</v>
      </c>
      <c r="B461" s="20" t="s">
        <v>34</v>
      </c>
      <c r="C461" s="20" t="s">
        <v>12</v>
      </c>
      <c r="D461" s="24" t="s">
        <v>348</v>
      </c>
      <c r="E461" s="23" t="s">
        <v>81</v>
      </c>
      <c r="F461" s="27">
        <f>118269.6-249.1+769.7+2785.3+2000+802.4+37898.5</f>
        <v>162276.4</v>
      </c>
    </row>
    <row r="462" spans="1:6" x14ac:dyDescent="0.2">
      <c r="A462" s="45" t="s">
        <v>86</v>
      </c>
      <c r="B462" s="20" t="s">
        <v>34</v>
      </c>
      <c r="C462" s="20" t="s">
        <v>12</v>
      </c>
      <c r="D462" s="24" t="s">
        <v>348</v>
      </c>
      <c r="E462" s="23" t="s">
        <v>82</v>
      </c>
      <c r="F462" s="27">
        <v>13059</v>
      </c>
    </row>
    <row r="463" spans="1:6" x14ac:dyDescent="0.2">
      <c r="A463" s="26" t="s">
        <v>423</v>
      </c>
      <c r="B463" s="20" t="s">
        <v>34</v>
      </c>
      <c r="C463" s="20" t="s">
        <v>12</v>
      </c>
      <c r="D463" s="24" t="s">
        <v>424</v>
      </c>
      <c r="E463" s="23"/>
      <c r="F463" s="27">
        <f>F464</f>
        <v>56583</v>
      </c>
    </row>
    <row r="464" spans="1:6" ht="30" x14ac:dyDescent="0.2">
      <c r="A464" s="45" t="s">
        <v>83</v>
      </c>
      <c r="B464" s="20" t="s">
        <v>34</v>
      </c>
      <c r="C464" s="20" t="s">
        <v>12</v>
      </c>
      <c r="D464" s="24" t="s">
        <v>424</v>
      </c>
      <c r="E464" s="23" t="s">
        <v>81</v>
      </c>
      <c r="F464" s="27">
        <f>80000-23417</f>
        <v>56583</v>
      </c>
    </row>
    <row r="465" spans="1:6" ht="30" x14ac:dyDescent="0.2">
      <c r="A465" s="45" t="s">
        <v>452</v>
      </c>
      <c r="B465" s="24" t="s">
        <v>34</v>
      </c>
      <c r="C465" s="24" t="s">
        <v>12</v>
      </c>
      <c r="D465" s="24" t="s">
        <v>448</v>
      </c>
      <c r="E465" s="2"/>
      <c r="F465" s="22">
        <f>F466</f>
        <v>772.2</v>
      </c>
    </row>
    <row r="466" spans="1:6" ht="30" x14ac:dyDescent="0.2">
      <c r="A466" s="1" t="s">
        <v>564</v>
      </c>
      <c r="B466" s="24" t="s">
        <v>34</v>
      </c>
      <c r="C466" s="24" t="s">
        <v>12</v>
      </c>
      <c r="D466" s="24" t="s">
        <v>543</v>
      </c>
      <c r="E466" s="2"/>
      <c r="F466" s="22">
        <f>F467</f>
        <v>772.2</v>
      </c>
    </row>
    <row r="467" spans="1:6" ht="45" x14ac:dyDescent="0.2">
      <c r="A467" s="1" t="s">
        <v>590</v>
      </c>
      <c r="B467" s="24" t="s">
        <v>34</v>
      </c>
      <c r="C467" s="24" t="s">
        <v>12</v>
      </c>
      <c r="D467" s="24" t="s">
        <v>591</v>
      </c>
      <c r="E467" s="2"/>
      <c r="F467" s="22">
        <f>F468</f>
        <v>772.2</v>
      </c>
    </row>
    <row r="468" spans="1:6" ht="30" x14ac:dyDescent="0.2">
      <c r="A468" s="1" t="s">
        <v>88</v>
      </c>
      <c r="B468" s="24" t="s">
        <v>34</v>
      </c>
      <c r="C468" s="24" t="s">
        <v>12</v>
      </c>
      <c r="D468" s="24" t="s">
        <v>592</v>
      </c>
      <c r="E468" s="2"/>
      <c r="F468" s="22">
        <f>F469</f>
        <v>772.2</v>
      </c>
    </row>
    <row r="469" spans="1:6" ht="30" x14ac:dyDescent="0.2">
      <c r="A469" s="1" t="s">
        <v>88</v>
      </c>
      <c r="B469" s="24" t="s">
        <v>34</v>
      </c>
      <c r="C469" s="24" t="s">
        <v>12</v>
      </c>
      <c r="D469" s="24" t="s">
        <v>592</v>
      </c>
      <c r="E469" s="2" t="s">
        <v>85</v>
      </c>
      <c r="F469" s="22">
        <v>772.2</v>
      </c>
    </row>
    <row r="470" spans="1:6" s="35" customFormat="1" ht="20.25" customHeight="1" x14ac:dyDescent="0.2">
      <c r="A470" s="41" t="s">
        <v>690</v>
      </c>
      <c r="B470" s="32" t="s">
        <v>34</v>
      </c>
      <c r="C470" s="32" t="s">
        <v>34</v>
      </c>
      <c r="D470" s="32"/>
      <c r="E470" s="32"/>
      <c r="F470" s="21">
        <f>F471</f>
        <v>5815</v>
      </c>
    </row>
    <row r="471" spans="1:6" x14ac:dyDescent="0.2">
      <c r="A471" s="45" t="s">
        <v>95</v>
      </c>
      <c r="B471" s="24" t="s">
        <v>34</v>
      </c>
      <c r="C471" s="24" t="s">
        <v>34</v>
      </c>
      <c r="D471" s="24" t="s">
        <v>102</v>
      </c>
      <c r="E471" s="2"/>
      <c r="F471" s="22">
        <f>F472</f>
        <v>5815</v>
      </c>
    </row>
    <row r="472" spans="1:6" x14ac:dyDescent="0.2">
      <c r="A472" s="1" t="s">
        <v>614</v>
      </c>
      <c r="B472" s="24" t="s">
        <v>34</v>
      </c>
      <c r="C472" s="24" t="s">
        <v>34</v>
      </c>
      <c r="D472" s="24" t="s">
        <v>617</v>
      </c>
      <c r="E472" s="2"/>
      <c r="F472" s="22">
        <f>SUM(F473:F474)</f>
        <v>5815</v>
      </c>
    </row>
    <row r="473" spans="1:6" ht="30" x14ac:dyDescent="0.2">
      <c r="A473" s="45" t="s">
        <v>83</v>
      </c>
      <c r="B473" s="24" t="s">
        <v>34</v>
      </c>
      <c r="C473" s="24" t="s">
        <v>34</v>
      </c>
      <c r="D473" s="24" t="s">
        <v>617</v>
      </c>
      <c r="E473" s="2" t="s">
        <v>81</v>
      </c>
      <c r="F473" s="22">
        <v>1015</v>
      </c>
    </row>
    <row r="474" spans="1:6" ht="30" x14ac:dyDescent="0.2">
      <c r="A474" s="28" t="s">
        <v>615</v>
      </c>
      <c r="B474" s="24" t="s">
        <v>34</v>
      </c>
      <c r="C474" s="24" t="s">
        <v>34</v>
      </c>
      <c r="D474" s="24" t="s">
        <v>617</v>
      </c>
      <c r="E474" s="2" t="s">
        <v>616</v>
      </c>
      <c r="F474" s="22">
        <v>4800</v>
      </c>
    </row>
    <row r="475" spans="1:6" x14ac:dyDescent="0.2">
      <c r="B475" s="24"/>
      <c r="C475" s="24"/>
      <c r="D475" s="24"/>
      <c r="E475" s="2"/>
      <c r="F475" s="22"/>
    </row>
    <row r="476" spans="1:6" s="35" customFormat="1" ht="18" customHeight="1" x14ac:dyDescent="0.2">
      <c r="A476" s="53" t="s">
        <v>70</v>
      </c>
      <c r="B476" s="32" t="s">
        <v>17</v>
      </c>
      <c r="C476" s="32"/>
      <c r="D476" s="32"/>
      <c r="E476" s="32"/>
      <c r="F476" s="18">
        <f>F477+F483</f>
        <v>127677.10000000002</v>
      </c>
    </row>
    <row r="477" spans="1:6" s="35" customFormat="1" ht="18" customHeight="1" x14ac:dyDescent="0.2">
      <c r="A477" s="53" t="s">
        <v>397</v>
      </c>
      <c r="B477" s="32" t="s">
        <v>17</v>
      </c>
      <c r="C477" s="32" t="s">
        <v>9</v>
      </c>
      <c r="D477" s="32"/>
      <c r="E477" s="32"/>
      <c r="F477" s="18">
        <f>F478</f>
        <v>18342.8</v>
      </c>
    </row>
    <row r="478" spans="1:6" s="35" customFormat="1" ht="45" x14ac:dyDescent="0.2">
      <c r="A478" s="28" t="s">
        <v>425</v>
      </c>
      <c r="B478" s="23" t="s">
        <v>17</v>
      </c>
      <c r="C478" s="23" t="s">
        <v>9</v>
      </c>
      <c r="D478" s="24" t="s">
        <v>426</v>
      </c>
      <c r="E478" s="32"/>
      <c r="F478" s="27">
        <f>F479</f>
        <v>18342.8</v>
      </c>
    </row>
    <row r="479" spans="1:6" s="35" customFormat="1" ht="30" x14ac:dyDescent="0.2">
      <c r="A479" s="28" t="s">
        <v>428</v>
      </c>
      <c r="B479" s="23" t="s">
        <v>17</v>
      </c>
      <c r="C479" s="23" t="s">
        <v>9</v>
      </c>
      <c r="D479" s="24" t="s">
        <v>427</v>
      </c>
      <c r="E479" s="32"/>
      <c r="F479" s="27">
        <f>F481</f>
        <v>18342.8</v>
      </c>
    </row>
    <row r="480" spans="1:6" s="35" customFormat="1" x14ac:dyDescent="0.2">
      <c r="A480" s="28" t="s">
        <v>429</v>
      </c>
      <c r="B480" s="23" t="s">
        <v>17</v>
      </c>
      <c r="C480" s="23" t="s">
        <v>9</v>
      </c>
      <c r="D480" s="24" t="s">
        <v>430</v>
      </c>
      <c r="E480" s="32"/>
      <c r="F480" s="27">
        <f>F481</f>
        <v>18342.8</v>
      </c>
    </row>
    <row r="481" spans="1:6" s="35" customFormat="1" ht="18" customHeight="1" x14ac:dyDescent="0.2">
      <c r="A481" s="42" t="s">
        <v>431</v>
      </c>
      <c r="B481" s="23" t="s">
        <v>17</v>
      </c>
      <c r="C481" s="23" t="s">
        <v>9</v>
      </c>
      <c r="D481" s="24" t="s">
        <v>432</v>
      </c>
      <c r="E481" s="24"/>
      <c r="F481" s="16">
        <f>F482</f>
        <v>18342.8</v>
      </c>
    </row>
    <row r="482" spans="1:6" s="35" customFormat="1" ht="30" x14ac:dyDescent="0.2">
      <c r="A482" s="45" t="s">
        <v>83</v>
      </c>
      <c r="B482" s="24" t="s">
        <v>17</v>
      </c>
      <c r="C482" s="24" t="s">
        <v>9</v>
      </c>
      <c r="D482" s="24" t="s">
        <v>432</v>
      </c>
      <c r="E482" s="24" t="s">
        <v>81</v>
      </c>
      <c r="F482" s="16">
        <f>18325.3+17.5</f>
        <v>18342.8</v>
      </c>
    </row>
    <row r="483" spans="1:6" s="35" customFormat="1" ht="28.5" x14ac:dyDescent="0.2">
      <c r="A483" s="53" t="s">
        <v>71</v>
      </c>
      <c r="B483" s="32" t="s">
        <v>17</v>
      </c>
      <c r="C483" s="32" t="s">
        <v>12</v>
      </c>
      <c r="D483" s="32"/>
      <c r="E483" s="32"/>
      <c r="F483" s="18">
        <f>F484+F495</f>
        <v>109334.30000000002</v>
      </c>
    </row>
    <row r="484" spans="1:6" ht="45" x14ac:dyDescent="0.2">
      <c r="A484" s="28" t="s">
        <v>425</v>
      </c>
      <c r="B484" s="23" t="s">
        <v>17</v>
      </c>
      <c r="C484" s="23" t="s">
        <v>12</v>
      </c>
      <c r="D484" s="24" t="s">
        <v>426</v>
      </c>
      <c r="E484" s="24"/>
      <c r="F484" s="16">
        <f>F485+F489</f>
        <v>94554.300000000017</v>
      </c>
    </row>
    <row r="485" spans="1:6" ht="30" x14ac:dyDescent="0.2">
      <c r="A485" s="28" t="s">
        <v>428</v>
      </c>
      <c r="B485" s="23" t="s">
        <v>17</v>
      </c>
      <c r="C485" s="23" t="s">
        <v>12</v>
      </c>
      <c r="D485" s="24" t="s">
        <v>427</v>
      </c>
      <c r="E485" s="24"/>
      <c r="F485" s="16">
        <f>F486</f>
        <v>85111.700000000012</v>
      </c>
    </row>
    <row r="486" spans="1:6" x14ac:dyDescent="0.2">
      <c r="A486" s="28" t="s">
        <v>429</v>
      </c>
      <c r="B486" s="23" t="s">
        <v>17</v>
      </c>
      <c r="C486" s="23" t="s">
        <v>12</v>
      </c>
      <c r="D486" s="24" t="s">
        <v>430</v>
      </c>
      <c r="E486" s="24"/>
      <c r="F486" s="16">
        <f>F487</f>
        <v>85111.700000000012</v>
      </c>
    </row>
    <row r="487" spans="1:6" x14ac:dyDescent="0.2">
      <c r="A487" s="42" t="s">
        <v>431</v>
      </c>
      <c r="B487" s="24" t="s">
        <v>17</v>
      </c>
      <c r="C487" s="24" t="s">
        <v>12</v>
      </c>
      <c r="D487" s="24" t="s">
        <v>432</v>
      </c>
      <c r="E487" s="24"/>
      <c r="F487" s="16">
        <f>F488</f>
        <v>85111.700000000012</v>
      </c>
    </row>
    <row r="488" spans="1:6" ht="30" x14ac:dyDescent="0.2">
      <c r="A488" s="45" t="s">
        <v>83</v>
      </c>
      <c r="B488" s="24" t="s">
        <v>17</v>
      </c>
      <c r="C488" s="24" t="s">
        <v>12</v>
      </c>
      <c r="D488" s="24" t="s">
        <v>432</v>
      </c>
      <c r="E488" s="24" t="s">
        <v>81</v>
      </c>
      <c r="F488" s="16">
        <f>70000+3363.6+11748.1</f>
        <v>85111.700000000012</v>
      </c>
    </row>
    <row r="489" spans="1:6" ht="45" x14ac:dyDescent="0.2">
      <c r="A489" s="45" t="s">
        <v>695</v>
      </c>
      <c r="B489" s="24" t="s">
        <v>17</v>
      </c>
      <c r="C489" s="24" t="s">
        <v>12</v>
      </c>
      <c r="D489" s="24" t="s">
        <v>691</v>
      </c>
      <c r="E489" s="24"/>
      <c r="F489" s="16">
        <f>F490</f>
        <v>9442.6</v>
      </c>
    </row>
    <row r="490" spans="1:6" ht="31.5" customHeight="1" x14ac:dyDescent="0.2">
      <c r="A490" s="45" t="s">
        <v>696</v>
      </c>
      <c r="B490" s="24" t="s">
        <v>17</v>
      </c>
      <c r="C490" s="24" t="s">
        <v>12</v>
      </c>
      <c r="D490" s="24" t="s">
        <v>692</v>
      </c>
      <c r="E490" s="24"/>
      <c r="F490" s="16">
        <f>F491+F493</f>
        <v>9442.6</v>
      </c>
    </row>
    <row r="491" spans="1:6" ht="30" x14ac:dyDescent="0.2">
      <c r="A491" s="45" t="s">
        <v>697</v>
      </c>
      <c r="B491" s="24" t="s">
        <v>17</v>
      </c>
      <c r="C491" s="24" t="s">
        <v>12</v>
      </c>
      <c r="D491" s="24" t="s">
        <v>693</v>
      </c>
      <c r="E491" s="24"/>
      <c r="F491" s="16">
        <f>F492</f>
        <v>4760</v>
      </c>
    </row>
    <row r="492" spans="1:6" ht="30" x14ac:dyDescent="0.2">
      <c r="A492" s="45" t="s">
        <v>83</v>
      </c>
      <c r="B492" s="24" t="s">
        <v>17</v>
      </c>
      <c r="C492" s="24" t="s">
        <v>12</v>
      </c>
      <c r="D492" s="24" t="s">
        <v>693</v>
      </c>
      <c r="E492" s="24" t="s">
        <v>81</v>
      </c>
      <c r="F492" s="16">
        <v>4760</v>
      </c>
    </row>
    <row r="493" spans="1:6" x14ac:dyDescent="0.2">
      <c r="A493" s="45" t="s">
        <v>698</v>
      </c>
      <c r="B493" s="24" t="s">
        <v>17</v>
      </c>
      <c r="C493" s="24" t="s">
        <v>12</v>
      </c>
      <c r="D493" s="24" t="s">
        <v>694</v>
      </c>
      <c r="E493" s="24"/>
      <c r="F493" s="16">
        <f>F494</f>
        <v>4682.6000000000004</v>
      </c>
    </row>
    <row r="494" spans="1:6" ht="30" x14ac:dyDescent="0.2">
      <c r="A494" s="45" t="s">
        <v>83</v>
      </c>
      <c r="B494" s="24" t="s">
        <v>17</v>
      </c>
      <c r="C494" s="24" t="s">
        <v>12</v>
      </c>
      <c r="D494" s="24" t="s">
        <v>694</v>
      </c>
      <c r="E494" s="24" t="s">
        <v>81</v>
      </c>
      <c r="F494" s="16">
        <v>4682.6000000000004</v>
      </c>
    </row>
    <row r="495" spans="1:6" ht="30" x14ac:dyDescent="0.2">
      <c r="A495" s="45" t="s">
        <v>151</v>
      </c>
      <c r="B495" s="24" t="s">
        <v>17</v>
      </c>
      <c r="C495" s="24" t="s">
        <v>12</v>
      </c>
      <c r="D495" s="24" t="s">
        <v>152</v>
      </c>
      <c r="E495" s="24"/>
      <c r="F495" s="16">
        <f>F496</f>
        <v>14780</v>
      </c>
    </row>
    <row r="496" spans="1:6" ht="30" x14ac:dyDescent="0.2">
      <c r="A496" s="45" t="s">
        <v>340</v>
      </c>
      <c r="B496" s="24" t="s">
        <v>17</v>
      </c>
      <c r="C496" s="24" t="s">
        <v>12</v>
      </c>
      <c r="D496" s="24" t="s">
        <v>158</v>
      </c>
      <c r="E496" s="24"/>
      <c r="F496" s="16">
        <f>F497</f>
        <v>14780</v>
      </c>
    </row>
    <row r="497" spans="1:6" x14ac:dyDescent="0.2">
      <c r="A497" s="45" t="s">
        <v>607</v>
      </c>
      <c r="B497" s="24" t="s">
        <v>17</v>
      </c>
      <c r="C497" s="24" t="s">
        <v>12</v>
      </c>
      <c r="D497" s="24" t="s">
        <v>608</v>
      </c>
      <c r="E497" s="24"/>
      <c r="F497" s="16">
        <f>F498</f>
        <v>14780</v>
      </c>
    </row>
    <row r="498" spans="1:6" ht="30" x14ac:dyDescent="0.2">
      <c r="A498" s="45" t="s">
        <v>83</v>
      </c>
      <c r="B498" s="24" t="s">
        <v>17</v>
      </c>
      <c r="C498" s="24" t="s">
        <v>12</v>
      </c>
      <c r="D498" s="24" t="s">
        <v>608</v>
      </c>
      <c r="E498" s="24" t="s">
        <v>81</v>
      </c>
      <c r="F498" s="16">
        <v>14780</v>
      </c>
    </row>
    <row r="499" spans="1:6" x14ac:dyDescent="0.2">
      <c r="A499" s="42"/>
      <c r="B499" s="24"/>
      <c r="C499" s="24"/>
      <c r="D499" s="24"/>
      <c r="E499" s="24"/>
      <c r="F499" s="16"/>
    </row>
    <row r="500" spans="1:6" x14ac:dyDescent="0.2">
      <c r="A500" s="12" t="s">
        <v>37</v>
      </c>
      <c r="B500" s="13" t="s">
        <v>19</v>
      </c>
      <c r="C500" s="13"/>
      <c r="D500" s="13"/>
      <c r="E500" s="13"/>
      <c r="F500" s="14">
        <f>F501+F523+F556+F603+F659</f>
        <v>15427049.9</v>
      </c>
    </row>
    <row r="501" spans="1:6" x14ac:dyDescent="0.2">
      <c r="A501" s="12" t="s">
        <v>38</v>
      </c>
      <c r="B501" s="13" t="s">
        <v>19</v>
      </c>
      <c r="C501" s="13" t="s">
        <v>7</v>
      </c>
      <c r="D501" s="13"/>
      <c r="E501" s="13"/>
      <c r="F501" s="18">
        <f>F502+F507+F516</f>
        <v>4498864.8</v>
      </c>
    </row>
    <row r="502" spans="1:6" ht="30" x14ac:dyDescent="0.2">
      <c r="A502" s="68" t="s">
        <v>443</v>
      </c>
      <c r="B502" s="2" t="s">
        <v>19</v>
      </c>
      <c r="C502" s="2" t="s">
        <v>7</v>
      </c>
      <c r="D502" s="54" t="s">
        <v>130</v>
      </c>
      <c r="E502" s="13"/>
      <c r="F502" s="27">
        <f>F503</f>
        <v>2116617.5</v>
      </c>
    </row>
    <row r="503" spans="1:6" ht="45" x14ac:dyDescent="0.2">
      <c r="A503" s="68" t="s">
        <v>447</v>
      </c>
      <c r="B503" s="2" t="s">
        <v>19</v>
      </c>
      <c r="C503" s="2" t="s">
        <v>7</v>
      </c>
      <c r="D503" s="54" t="s">
        <v>159</v>
      </c>
      <c r="E503" s="13"/>
      <c r="F503" s="27">
        <f>F504</f>
        <v>2116617.5</v>
      </c>
    </row>
    <row r="504" spans="1:6" ht="60" x14ac:dyDescent="0.2">
      <c r="A504" s="51" t="s">
        <v>160</v>
      </c>
      <c r="B504" s="2" t="s">
        <v>19</v>
      </c>
      <c r="C504" s="2" t="s">
        <v>7</v>
      </c>
      <c r="D504" s="54" t="s">
        <v>161</v>
      </c>
      <c r="E504" s="24"/>
      <c r="F504" s="27">
        <f>F505</f>
        <v>2116617.5</v>
      </c>
    </row>
    <row r="505" spans="1:6" ht="60" x14ac:dyDescent="0.2">
      <c r="A505" s="26" t="s">
        <v>89</v>
      </c>
      <c r="B505" s="2" t="s">
        <v>19</v>
      </c>
      <c r="C505" s="2" t="s">
        <v>7</v>
      </c>
      <c r="D505" s="54" t="s">
        <v>162</v>
      </c>
      <c r="E505" s="24"/>
      <c r="F505" s="27">
        <f>F506</f>
        <v>2116617.5</v>
      </c>
    </row>
    <row r="506" spans="1:6" ht="30" x14ac:dyDescent="0.2">
      <c r="A506" s="1" t="s">
        <v>88</v>
      </c>
      <c r="B506" s="2" t="s">
        <v>19</v>
      </c>
      <c r="C506" s="2" t="s">
        <v>7</v>
      </c>
      <c r="D506" s="54" t="s">
        <v>162</v>
      </c>
      <c r="E506" s="24" t="s">
        <v>85</v>
      </c>
      <c r="F506" s="27">
        <v>2116617.5</v>
      </c>
    </row>
    <row r="507" spans="1:6" ht="30" x14ac:dyDescent="0.2">
      <c r="A507" s="51" t="s">
        <v>488</v>
      </c>
      <c r="B507" s="2" t="s">
        <v>19</v>
      </c>
      <c r="C507" s="2" t="s">
        <v>7</v>
      </c>
      <c r="D507" s="54" t="s">
        <v>130</v>
      </c>
      <c r="E507" s="2"/>
      <c r="F507" s="16">
        <f>F508+F512</f>
        <v>2276718.7999999998</v>
      </c>
    </row>
    <row r="508" spans="1:6" ht="33" customHeight="1" x14ac:dyDescent="0.2">
      <c r="A508" s="51" t="s">
        <v>163</v>
      </c>
      <c r="B508" s="2" t="s">
        <v>19</v>
      </c>
      <c r="C508" s="2" t="s">
        <v>7</v>
      </c>
      <c r="D508" s="54" t="s">
        <v>159</v>
      </c>
      <c r="E508" s="24"/>
      <c r="F508" s="27">
        <f>F509</f>
        <v>2233568.5999999996</v>
      </c>
    </row>
    <row r="509" spans="1:6" x14ac:dyDescent="0.2">
      <c r="A509" s="1" t="s">
        <v>164</v>
      </c>
      <c r="B509" s="2" t="s">
        <v>19</v>
      </c>
      <c r="C509" s="2" t="s">
        <v>7</v>
      </c>
      <c r="D509" s="54" t="s">
        <v>165</v>
      </c>
      <c r="E509" s="24"/>
      <c r="F509" s="27">
        <f>F510</f>
        <v>2233568.5999999996</v>
      </c>
    </row>
    <row r="510" spans="1:6" ht="30" x14ac:dyDescent="0.2">
      <c r="A510" s="1" t="s">
        <v>266</v>
      </c>
      <c r="B510" s="2" t="s">
        <v>19</v>
      </c>
      <c r="C510" s="2" t="s">
        <v>7</v>
      </c>
      <c r="D510" s="54" t="s">
        <v>166</v>
      </c>
      <c r="E510" s="2"/>
      <c r="F510" s="16">
        <f>F511</f>
        <v>2233568.5999999996</v>
      </c>
    </row>
    <row r="511" spans="1:6" ht="30" x14ac:dyDescent="0.2">
      <c r="A511" s="1" t="s">
        <v>88</v>
      </c>
      <c r="B511" s="2" t="s">
        <v>19</v>
      </c>
      <c r="C511" s="2" t="s">
        <v>7</v>
      </c>
      <c r="D511" s="54" t="s">
        <v>166</v>
      </c>
      <c r="E511" s="2" t="s">
        <v>85</v>
      </c>
      <c r="F511" s="16">
        <f>2185722.8-89211.3+5957.2+131099.9</f>
        <v>2233568.5999999996</v>
      </c>
    </row>
    <row r="512" spans="1:6" x14ac:dyDescent="0.2">
      <c r="A512" s="26" t="s">
        <v>135</v>
      </c>
      <c r="B512" s="2" t="s">
        <v>19</v>
      </c>
      <c r="C512" s="2" t="s">
        <v>7</v>
      </c>
      <c r="D512" s="54" t="s">
        <v>136</v>
      </c>
      <c r="E512" s="2"/>
      <c r="F512" s="16">
        <f>F513</f>
        <v>43150.2</v>
      </c>
    </row>
    <row r="513" spans="1:6" ht="30" x14ac:dyDescent="0.2">
      <c r="A513" s="1" t="s">
        <v>274</v>
      </c>
      <c r="B513" s="2" t="s">
        <v>19</v>
      </c>
      <c r="C513" s="2" t="s">
        <v>7</v>
      </c>
      <c r="D513" s="54" t="s">
        <v>207</v>
      </c>
      <c r="E513" s="2"/>
      <c r="F513" s="16">
        <f>F514</f>
        <v>43150.2</v>
      </c>
    </row>
    <row r="514" spans="1:6" ht="47.25" customHeight="1" x14ac:dyDescent="0.2">
      <c r="A514" s="1" t="s">
        <v>183</v>
      </c>
      <c r="B514" s="2" t="s">
        <v>19</v>
      </c>
      <c r="C514" s="2" t="s">
        <v>7</v>
      </c>
      <c r="D514" s="54" t="s">
        <v>208</v>
      </c>
      <c r="E514" s="2"/>
      <c r="F514" s="16">
        <f>F515</f>
        <v>43150.2</v>
      </c>
    </row>
    <row r="515" spans="1:6" ht="30" x14ac:dyDescent="0.2">
      <c r="A515" s="1" t="s">
        <v>88</v>
      </c>
      <c r="B515" s="2" t="s">
        <v>19</v>
      </c>
      <c r="C515" s="2" t="s">
        <v>7</v>
      </c>
      <c r="D515" s="54" t="s">
        <v>208</v>
      </c>
      <c r="E515" s="2" t="s">
        <v>85</v>
      </c>
      <c r="F515" s="16">
        <f>20310+4348.8+4356.9+14134.5</f>
        <v>43150.2</v>
      </c>
    </row>
    <row r="516" spans="1:6" x14ac:dyDescent="0.2">
      <c r="A516" s="1" t="s">
        <v>95</v>
      </c>
      <c r="B516" s="2" t="s">
        <v>19</v>
      </c>
      <c r="C516" s="2" t="s">
        <v>7</v>
      </c>
      <c r="D516" s="2" t="s">
        <v>102</v>
      </c>
      <c r="E516" s="2"/>
      <c r="F516" s="16">
        <f>F517+F519</f>
        <v>105528.5</v>
      </c>
    </row>
    <row r="517" spans="1:6" x14ac:dyDescent="0.2">
      <c r="A517" s="1" t="s">
        <v>614</v>
      </c>
      <c r="B517" s="2" t="s">
        <v>19</v>
      </c>
      <c r="C517" s="2" t="s">
        <v>7</v>
      </c>
      <c r="D517" s="54" t="s">
        <v>617</v>
      </c>
      <c r="E517" s="2"/>
      <c r="F517" s="16">
        <f>F518</f>
        <v>2165.5</v>
      </c>
    </row>
    <row r="518" spans="1:6" ht="30" x14ac:dyDescent="0.2">
      <c r="A518" s="1" t="s">
        <v>615</v>
      </c>
      <c r="B518" s="2" t="s">
        <v>19</v>
      </c>
      <c r="C518" s="2" t="s">
        <v>7</v>
      </c>
      <c r="D518" s="54" t="s">
        <v>617</v>
      </c>
      <c r="E518" s="2" t="s">
        <v>616</v>
      </c>
      <c r="F518" s="16">
        <v>2165.5</v>
      </c>
    </row>
    <row r="519" spans="1:6" ht="30" x14ac:dyDescent="0.2">
      <c r="A519" s="42" t="s">
        <v>78</v>
      </c>
      <c r="B519" s="2" t="s">
        <v>19</v>
      </c>
      <c r="C519" s="2" t="s">
        <v>7</v>
      </c>
      <c r="D519" s="54" t="s">
        <v>113</v>
      </c>
      <c r="E519" s="2"/>
      <c r="F519" s="16">
        <f>F520</f>
        <v>103363</v>
      </c>
    </row>
    <row r="520" spans="1:6" ht="31.5" customHeight="1" x14ac:dyDescent="0.2">
      <c r="A520" s="45" t="s">
        <v>618</v>
      </c>
      <c r="B520" s="2" t="s">
        <v>19</v>
      </c>
      <c r="C520" s="2" t="s">
        <v>7</v>
      </c>
      <c r="D520" s="54" t="s">
        <v>619</v>
      </c>
      <c r="E520" s="2"/>
      <c r="F520" s="16">
        <f>F522+F521</f>
        <v>103363</v>
      </c>
    </row>
    <row r="521" spans="1:6" ht="30" x14ac:dyDescent="0.2">
      <c r="A521" s="45" t="s">
        <v>83</v>
      </c>
      <c r="B521" s="2" t="s">
        <v>19</v>
      </c>
      <c r="C521" s="2" t="s">
        <v>7</v>
      </c>
      <c r="D521" s="54" t="s">
        <v>619</v>
      </c>
      <c r="E521" s="2" t="s">
        <v>81</v>
      </c>
      <c r="F521" s="16">
        <v>103363</v>
      </c>
    </row>
    <row r="522" spans="1:6" x14ac:dyDescent="0.2">
      <c r="C522" s="2"/>
      <c r="D522" s="54"/>
      <c r="E522" s="2"/>
      <c r="F522" s="16"/>
    </row>
    <row r="523" spans="1:6" x14ac:dyDescent="0.2">
      <c r="A523" s="12" t="s">
        <v>39</v>
      </c>
      <c r="B523" s="13" t="s">
        <v>19</v>
      </c>
      <c r="C523" s="13" t="s">
        <v>9</v>
      </c>
      <c r="D523" s="13"/>
      <c r="E523" s="13"/>
      <c r="F523" s="18">
        <f>F524+F532+F547</f>
        <v>6248994.2000000002</v>
      </c>
    </row>
    <row r="524" spans="1:6" ht="30" x14ac:dyDescent="0.2">
      <c r="A524" s="68" t="s">
        <v>443</v>
      </c>
      <c r="B524" s="2" t="s">
        <v>19</v>
      </c>
      <c r="C524" s="2" t="s">
        <v>9</v>
      </c>
      <c r="D524" s="54" t="s">
        <v>130</v>
      </c>
      <c r="E524" s="13"/>
      <c r="F524" s="27">
        <f>F525+F529</f>
        <v>4529646.8999999994</v>
      </c>
    </row>
    <row r="525" spans="1:6" ht="45" x14ac:dyDescent="0.25">
      <c r="A525" s="67" t="s">
        <v>444</v>
      </c>
      <c r="B525" s="2" t="s">
        <v>19</v>
      </c>
      <c r="C525" s="2" t="s">
        <v>9</v>
      </c>
      <c r="D525" s="54" t="s">
        <v>131</v>
      </c>
      <c r="E525" s="13"/>
      <c r="F525" s="27">
        <f>F526</f>
        <v>4529377.8</v>
      </c>
    </row>
    <row r="526" spans="1:6" ht="105" x14ac:dyDescent="0.2">
      <c r="A526" s="1" t="s">
        <v>132</v>
      </c>
      <c r="B526" s="2" t="s">
        <v>19</v>
      </c>
      <c r="C526" s="2" t="s">
        <v>9</v>
      </c>
      <c r="D526" s="54" t="s">
        <v>133</v>
      </c>
      <c r="E526" s="2"/>
      <c r="F526" s="16">
        <f>F527</f>
        <v>4529377.8</v>
      </c>
    </row>
    <row r="527" spans="1:6" ht="90" x14ac:dyDescent="0.2">
      <c r="A527" s="1" t="s">
        <v>171</v>
      </c>
      <c r="B527" s="2" t="s">
        <v>19</v>
      </c>
      <c r="C527" s="2" t="s">
        <v>9</v>
      </c>
      <c r="D527" s="54" t="s">
        <v>193</v>
      </c>
      <c r="E527" s="2"/>
      <c r="F527" s="16">
        <f>F528</f>
        <v>4529377.8</v>
      </c>
    </row>
    <row r="528" spans="1:6" ht="30" x14ac:dyDescent="0.2">
      <c r="A528" s="1" t="s">
        <v>88</v>
      </c>
      <c r="B528" s="2" t="s">
        <v>19</v>
      </c>
      <c r="C528" s="2" t="s">
        <v>9</v>
      </c>
      <c r="D528" s="54" t="s">
        <v>193</v>
      </c>
      <c r="E528" s="2" t="s">
        <v>85</v>
      </c>
      <c r="F528" s="16">
        <f>4532110.6-2732.8</f>
        <v>4529377.8</v>
      </c>
    </row>
    <row r="529" spans="1:6" ht="45" x14ac:dyDescent="0.2">
      <c r="A529" s="51" t="s">
        <v>747</v>
      </c>
      <c r="B529" s="76" t="s">
        <v>19</v>
      </c>
      <c r="C529" s="76" t="s">
        <v>9</v>
      </c>
      <c r="D529" s="77" t="s">
        <v>744</v>
      </c>
      <c r="E529" s="2"/>
      <c r="F529" s="16">
        <f>F530</f>
        <v>269.10000000000002</v>
      </c>
    </row>
    <row r="530" spans="1:6" ht="45" x14ac:dyDescent="0.2">
      <c r="A530" s="51" t="s">
        <v>629</v>
      </c>
      <c r="B530" s="76" t="s">
        <v>19</v>
      </c>
      <c r="C530" s="76" t="s">
        <v>9</v>
      </c>
      <c r="D530" s="77" t="s">
        <v>742</v>
      </c>
      <c r="E530" s="2"/>
      <c r="F530" s="16">
        <f>F531</f>
        <v>269.10000000000002</v>
      </c>
    </row>
    <row r="531" spans="1:6" ht="30" x14ac:dyDescent="0.2">
      <c r="A531" s="1" t="s">
        <v>88</v>
      </c>
      <c r="B531" s="2" t="s">
        <v>19</v>
      </c>
      <c r="C531" s="2" t="s">
        <v>9</v>
      </c>
      <c r="D531" s="54" t="s">
        <v>742</v>
      </c>
      <c r="E531" s="2" t="s">
        <v>85</v>
      </c>
      <c r="F531" s="16">
        <v>269.10000000000002</v>
      </c>
    </row>
    <row r="532" spans="1:6" s="29" customFormat="1" ht="30" x14ac:dyDescent="0.2">
      <c r="A532" s="51" t="s">
        <v>488</v>
      </c>
      <c r="B532" s="24" t="s">
        <v>19</v>
      </c>
      <c r="C532" s="24" t="s">
        <v>9</v>
      </c>
      <c r="D532" s="54" t="s">
        <v>130</v>
      </c>
      <c r="E532" s="24"/>
      <c r="F532" s="27">
        <f>F533+F543</f>
        <v>1712798.9000000001</v>
      </c>
    </row>
    <row r="533" spans="1:6" ht="30" x14ac:dyDescent="0.2">
      <c r="A533" s="51" t="s">
        <v>352</v>
      </c>
      <c r="B533" s="2" t="s">
        <v>19</v>
      </c>
      <c r="C533" s="2" t="s">
        <v>9</v>
      </c>
      <c r="D533" s="54" t="s">
        <v>131</v>
      </c>
      <c r="E533" s="2"/>
      <c r="F533" s="16">
        <f>F534</f>
        <v>1709327.2000000002</v>
      </c>
    </row>
    <row r="534" spans="1:6" x14ac:dyDescent="0.2">
      <c r="A534" s="26" t="s">
        <v>267</v>
      </c>
      <c r="B534" s="2" t="s">
        <v>19</v>
      </c>
      <c r="C534" s="2" t="s">
        <v>9</v>
      </c>
      <c r="D534" s="54" t="s">
        <v>168</v>
      </c>
      <c r="E534" s="2"/>
      <c r="F534" s="16">
        <f>F535+F539+F537+F541</f>
        <v>1709327.2000000002</v>
      </c>
    </row>
    <row r="535" spans="1:6" ht="30" x14ac:dyDescent="0.2">
      <c r="A535" s="26" t="s">
        <v>268</v>
      </c>
      <c r="B535" s="2" t="s">
        <v>19</v>
      </c>
      <c r="C535" s="2" t="s">
        <v>9</v>
      </c>
      <c r="D535" s="54" t="s">
        <v>169</v>
      </c>
      <c r="E535" s="2"/>
      <c r="F535" s="16">
        <f>F536</f>
        <v>1623411.7000000002</v>
      </c>
    </row>
    <row r="536" spans="1:6" ht="30" x14ac:dyDescent="0.2">
      <c r="A536" s="1" t="s">
        <v>88</v>
      </c>
      <c r="B536" s="2" t="s">
        <v>19</v>
      </c>
      <c r="C536" s="2" t="s">
        <v>9</v>
      </c>
      <c r="D536" s="54" t="s">
        <v>169</v>
      </c>
      <c r="E536" s="2" t="s">
        <v>85</v>
      </c>
      <c r="F536" s="16">
        <f>1485078.3+68403.2+22830.1+47100.1</f>
        <v>1623411.7000000002</v>
      </c>
    </row>
    <row r="537" spans="1:6" ht="30" x14ac:dyDescent="0.2">
      <c r="A537" s="1" t="s">
        <v>567</v>
      </c>
      <c r="B537" s="2" t="s">
        <v>19</v>
      </c>
      <c r="C537" s="2" t="s">
        <v>9</v>
      </c>
      <c r="D537" s="54" t="s">
        <v>548</v>
      </c>
      <c r="E537" s="2"/>
      <c r="F537" s="16">
        <f>F538</f>
        <v>9920.5</v>
      </c>
    </row>
    <row r="538" spans="1:6" ht="30" x14ac:dyDescent="0.2">
      <c r="A538" s="1" t="s">
        <v>88</v>
      </c>
      <c r="B538" s="2" t="s">
        <v>19</v>
      </c>
      <c r="C538" s="2" t="s">
        <v>9</v>
      </c>
      <c r="D538" s="54" t="s">
        <v>548</v>
      </c>
      <c r="E538" s="2" t="s">
        <v>85</v>
      </c>
      <c r="F538" s="16">
        <f>9900+20.5</f>
        <v>9920.5</v>
      </c>
    </row>
    <row r="539" spans="1:6" ht="30" x14ac:dyDescent="0.2">
      <c r="A539" s="26" t="s">
        <v>322</v>
      </c>
      <c r="B539" s="2" t="s">
        <v>19</v>
      </c>
      <c r="C539" s="2" t="s">
        <v>9</v>
      </c>
      <c r="D539" s="54" t="s">
        <v>170</v>
      </c>
      <c r="E539" s="2"/>
      <c r="F539" s="16">
        <f>F540</f>
        <v>75950.099999999991</v>
      </c>
    </row>
    <row r="540" spans="1:6" ht="30" x14ac:dyDescent="0.2">
      <c r="A540" s="1" t="s">
        <v>88</v>
      </c>
      <c r="B540" s="2" t="s">
        <v>19</v>
      </c>
      <c r="C540" s="2" t="s">
        <v>9</v>
      </c>
      <c r="D540" s="54" t="s">
        <v>170</v>
      </c>
      <c r="E540" s="2" t="s">
        <v>85</v>
      </c>
      <c r="F540" s="16">
        <f>67288.9+3451.7+82+74.8+5052.7</f>
        <v>75950.099999999991</v>
      </c>
    </row>
    <row r="541" spans="1:6" ht="45" x14ac:dyDescent="0.2">
      <c r="A541" s="26" t="s">
        <v>271</v>
      </c>
      <c r="B541" s="2" t="s">
        <v>19</v>
      </c>
      <c r="C541" s="2" t="s">
        <v>9</v>
      </c>
      <c r="D541" s="54" t="s">
        <v>202</v>
      </c>
      <c r="E541" s="2"/>
      <c r="F541" s="16">
        <f>F542</f>
        <v>44.9</v>
      </c>
    </row>
    <row r="542" spans="1:6" ht="30" x14ac:dyDescent="0.2">
      <c r="A542" s="1" t="s">
        <v>88</v>
      </c>
      <c r="B542" s="2" t="s">
        <v>19</v>
      </c>
      <c r="C542" s="2" t="s">
        <v>9</v>
      </c>
      <c r="D542" s="54" t="s">
        <v>202</v>
      </c>
      <c r="E542" s="2" t="s">
        <v>85</v>
      </c>
      <c r="F542" s="16">
        <v>44.9</v>
      </c>
    </row>
    <row r="543" spans="1:6" x14ac:dyDescent="0.2">
      <c r="A543" s="26" t="s">
        <v>135</v>
      </c>
      <c r="B543" s="2" t="s">
        <v>19</v>
      </c>
      <c r="C543" s="2" t="s">
        <v>9</v>
      </c>
      <c r="D543" s="54" t="s">
        <v>136</v>
      </c>
      <c r="E543" s="2"/>
      <c r="F543" s="16">
        <f>F544</f>
        <v>3471.7</v>
      </c>
    </row>
    <row r="544" spans="1:6" ht="30" x14ac:dyDescent="0.2">
      <c r="A544" s="1" t="s">
        <v>274</v>
      </c>
      <c r="B544" s="2" t="s">
        <v>19</v>
      </c>
      <c r="C544" s="2" t="s">
        <v>9</v>
      </c>
      <c r="D544" s="54" t="s">
        <v>207</v>
      </c>
      <c r="E544" s="2"/>
      <c r="F544" s="16">
        <f>F545</f>
        <v>3471.7</v>
      </c>
    </row>
    <row r="545" spans="1:6" ht="50.25" customHeight="1" x14ac:dyDescent="0.2">
      <c r="A545" s="1" t="s">
        <v>183</v>
      </c>
      <c r="B545" s="2" t="s">
        <v>19</v>
      </c>
      <c r="C545" s="2" t="s">
        <v>9</v>
      </c>
      <c r="D545" s="54" t="s">
        <v>208</v>
      </c>
      <c r="E545" s="2"/>
      <c r="F545" s="16">
        <f>F546</f>
        <v>3471.7</v>
      </c>
    </row>
    <row r="546" spans="1:6" ht="30" x14ac:dyDescent="0.2">
      <c r="A546" s="1" t="s">
        <v>88</v>
      </c>
      <c r="B546" s="2" t="s">
        <v>19</v>
      </c>
      <c r="C546" s="2" t="s">
        <v>9</v>
      </c>
      <c r="D546" s="54" t="s">
        <v>208</v>
      </c>
      <c r="E546" s="2" t="s">
        <v>85</v>
      </c>
      <c r="F546" s="16">
        <f>651.2+704.5+2116</f>
        <v>3471.7</v>
      </c>
    </row>
    <row r="547" spans="1:6" x14ac:dyDescent="0.2">
      <c r="A547" s="26" t="s">
        <v>95</v>
      </c>
      <c r="B547" s="2" t="s">
        <v>19</v>
      </c>
      <c r="C547" s="2" t="s">
        <v>9</v>
      </c>
      <c r="D547" s="54" t="s">
        <v>102</v>
      </c>
      <c r="E547" s="2"/>
      <c r="F547" s="16">
        <f>F548+F550</f>
        <v>6548.4</v>
      </c>
    </row>
    <row r="548" spans="1:6" x14ac:dyDescent="0.2">
      <c r="A548" s="26" t="s">
        <v>614</v>
      </c>
      <c r="B548" s="2" t="s">
        <v>19</v>
      </c>
      <c r="C548" s="2" t="s">
        <v>9</v>
      </c>
      <c r="D548" s="54" t="s">
        <v>617</v>
      </c>
      <c r="E548" s="2"/>
      <c r="F548" s="16">
        <f>F549</f>
        <v>4000</v>
      </c>
    </row>
    <row r="549" spans="1:6" ht="30" x14ac:dyDescent="0.2">
      <c r="A549" s="1" t="s">
        <v>615</v>
      </c>
      <c r="B549" s="2" t="s">
        <v>19</v>
      </c>
      <c r="C549" s="2" t="s">
        <v>9</v>
      </c>
      <c r="D549" s="54" t="s">
        <v>617</v>
      </c>
      <c r="E549" s="2" t="s">
        <v>616</v>
      </c>
      <c r="F549" s="16">
        <v>4000</v>
      </c>
    </row>
    <row r="550" spans="1:6" ht="30" x14ac:dyDescent="0.2">
      <c r="A550" s="42" t="s">
        <v>78</v>
      </c>
      <c r="B550" s="2" t="s">
        <v>19</v>
      </c>
      <c r="C550" s="2" t="s">
        <v>9</v>
      </c>
      <c r="D550" s="54" t="s">
        <v>113</v>
      </c>
      <c r="E550" s="2"/>
      <c r="F550" s="16">
        <f>F551+F554</f>
        <v>2548.3999999999996</v>
      </c>
    </row>
    <row r="551" spans="1:6" ht="34.5" customHeight="1" x14ac:dyDescent="0.2">
      <c r="A551" s="45" t="s">
        <v>618</v>
      </c>
      <c r="B551" s="2" t="s">
        <v>19</v>
      </c>
      <c r="C551" s="2" t="s">
        <v>9</v>
      </c>
      <c r="D551" s="54" t="s">
        <v>619</v>
      </c>
      <c r="E551" s="2"/>
      <c r="F551" s="16">
        <f>F553+F552</f>
        <v>1544.6</v>
      </c>
    </row>
    <row r="552" spans="1:6" ht="30" x14ac:dyDescent="0.2">
      <c r="A552" s="45" t="s">
        <v>83</v>
      </c>
      <c r="B552" s="2" t="s">
        <v>19</v>
      </c>
      <c r="C552" s="2" t="s">
        <v>9</v>
      </c>
      <c r="D552" s="54" t="s">
        <v>619</v>
      </c>
      <c r="E552" s="2" t="s">
        <v>81</v>
      </c>
      <c r="F552" s="16">
        <v>976.6</v>
      </c>
    </row>
    <row r="553" spans="1:6" ht="30" x14ac:dyDescent="0.2">
      <c r="A553" s="1" t="s">
        <v>615</v>
      </c>
      <c r="B553" s="2" t="s">
        <v>19</v>
      </c>
      <c r="C553" s="2" t="s">
        <v>9</v>
      </c>
      <c r="D553" s="54" t="s">
        <v>619</v>
      </c>
      <c r="E553" s="2" t="s">
        <v>616</v>
      </c>
      <c r="F553" s="16">
        <v>568</v>
      </c>
    </row>
    <row r="554" spans="1:6" s="29" customFormat="1" ht="44.25" customHeight="1" x14ac:dyDescent="0.2">
      <c r="A554" s="78" t="s">
        <v>749</v>
      </c>
      <c r="B554" s="24" t="s">
        <v>19</v>
      </c>
      <c r="C554" s="24" t="s">
        <v>9</v>
      </c>
      <c r="D554" s="54" t="s">
        <v>737</v>
      </c>
      <c r="E554" s="24"/>
      <c r="F554" s="27">
        <f>F555</f>
        <v>1003.8</v>
      </c>
    </row>
    <row r="555" spans="1:6" s="29" customFormat="1" ht="30" x14ac:dyDescent="0.2">
      <c r="A555" s="28" t="s">
        <v>88</v>
      </c>
      <c r="B555" s="24" t="s">
        <v>19</v>
      </c>
      <c r="C555" s="24" t="s">
        <v>9</v>
      </c>
      <c r="D555" s="54" t="s">
        <v>737</v>
      </c>
      <c r="E555" s="24" t="s">
        <v>85</v>
      </c>
      <c r="F555" s="27">
        <f>1003.8</f>
        <v>1003.8</v>
      </c>
    </row>
    <row r="556" spans="1:6" s="35" customFormat="1" ht="14.25" x14ac:dyDescent="0.2">
      <c r="A556" s="50" t="s">
        <v>407</v>
      </c>
      <c r="B556" s="32" t="s">
        <v>19</v>
      </c>
      <c r="C556" s="32" t="s">
        <v>12</v>
      </c>
      <c r="D556" s="65"/>
      <c r="E556" s="32"/>
      <c r="F556" s="18">
        <f>F557+F564+F585+F589</f>
        <v>2390767.7999999998</v>
      </c>
    </row>
    <row r="557" spans="1:6" s="29" customFormat="1" ht="30" x14ac:dyDescent="0.2">
      <c r="A557" s="51" t="s">
        <v>488</v>
      </c>
      <c r="B557" s="24" t="s">
        <v>19</v>
      </c>
      <c r="C557" s="24" t="s">
        <v>12</v>
      </c>
      <c r="D557" s="54" t="s">
        <v>130</v>
      </c>
      <c r="E557" s="24"/>
      <c r="F557" s="27">
        <f>F558</f>
        <v>1118072.2999999998</v>
      </c>
    </row>
    <row r="558" spans="1:6" ht="30" x14ac:dyDescent="0.2">
      <c r="A558" s="44" t="s">
        <v>265</v>
      </c>
      <c r="B558" s="2" t="s">
        <v>19</v>
      </c>
      <c r="C558" s="2" t="s">
        <v>12</v>
      </c>
      <c r="D558" s="4" t="s">
        <v>172</v>
      </c>
      <c r="F558" s="16">
        <f>F559</f>
        <v>1118072.2999999998</v>
      </c>
    </row>
    <row r="559" spans="1:6" ht="30" x14ac:dyDescent="0.2">
      <c r="A559" s="25" t="s">
        <v>185</v>
      </c>
      <c r="B559" s="2" t="s">
        <v>19</v>
      </c>
      <c r="C559" s="2" t="s">
        <v>12</v>
      </c>
      <c r="D559" s="4" t="s">
        <v>173</v>
      </c>
      <c r="F559" s="16">
        <f>F560+F562</f>
        <v>1118072.2999999998</v>
      </c>
    </row>
    <row r="560" spans="1:6" ht="45" x14ac:dyDescent="0.2">
      <c r="A560" s="25" t="s">
        <v>269</v>
      </c>
      <c r="B560" s="2" t="s">
        <v>19</v>
      </c>
      <c r="C560" s="2" t="s">
        <v>12</v>
      </c>
      <c r="D560" s="4" t="s">
        <v>174</v>
      </c>
      <c r="F560" s="16">
        <f>F561</f>
        <v>482361.59999999992</v>
      </c>
    </row>
    <row r="561" spans="1:6" ht="30" x14ac:dyDescent="0.2">
      <c r="A561" s="1" t="s">
        <v>88</v>
      </c>
      <c r="B561" s="2" t="s">
        <v>19</v>
      </c>
      <c r="C561" s="2" t="s">
        <v>12</v>
      </c>
      <c r="D561" s="4" t="s">
        <v>174</v>
      </c>
      <c r="E561" s="4">
        <v>600</v>
      </c>
      <c r="F561" s="16">
        <f>476055.8-2080.4+79.3+808.1+7498.8</f>
        <v>482361.59999999992</v>
      </c>
    </row>
    <row r="562" spans="1:6" ht="45" x14ac:dyDescent="0.2">
      <c r="A562" s="55" t="s">
        <v>270</v>
      </c>
      <c r="B562" s="2" t="s">
        <v>19</v>
      </c>
      <c r="C562" s="2" t="s">
        <v>12</v>
      </c>
      <c r="D562" s="4" t="s">
        <v>175</v>
      </c>
      <c r="F562" s="16">
        <f>F563</f>
        <v>635710.69999999995</v>
      </c>
    </row>
    <row r="563" spans="1:6" ht="30" x14ac:dyDescent="0.2">
      <c r="A563" s="1" t="s">
        <v>88</v>
      </c>
      <c r="B563" s="2" t="s">
        <v>19</v>
      </c>
      <c r="C563" s="2" t="s">
        <v>12</v>
      </c>
      <c r="D563" s="4" t="s">
        <v>175</v>
      </c>
      <c r="E563" s="4">
        <v>600</v>
      </c>
      <c r="F563" s="16">
        <f>613048.1+9856.6+254.4+12551.6</f>
        <v>635710.69999999995</v>
      </c>
    </row>
    <row r="564" spans="1:6" ht="30" x14ac:dyDescent="0.2">
      <c r="A564" s="45" t="s">
        <v>491</v>
      </c>
      <c r="B564" s="2" t="s">
        <v>19</v>
      </c>
      <c r="C564" s="2" t="s">
        <v>12</v>
      </c>
      <c r="D564" s="4" t="s">
        <v>137</v>
      </c>
      <c r="F564" s="16">
        <f>F565+F581</f>
        <v>463956.2</v>
      </c>
    </row>
    <row r="565" spans="1:6" ht="45" x14ac:dyDescent="0.2">
      <c r="A565" s="25" t="s">
        <v>586</v>
      </c>
      <c r="B565" s="2" t="s">
        <v>19</v>
      </c>
      <c r="C565" s="2" t="s">
        <v>12</v>
      </c>
      <c r="D565" s="4" t="s">
        <v>176</v>
      </c>
      <c r="F565" s="16">
        <f>F566+F569+F572+F575+F578</f>
        <v>462956.2</v>
      </c>
    </row>
    <row r="566" spans="1:6" ht="30" x14ac:dyDescent="0.2">
      <c r="A566" s="25" t="s">
        <v>185</v>
      </c>
      <c r="B566" s="2" t="s">
        <v>19</v>
      </c>
      <c r="C566" s="2" t="s">
        <v>12</v>
      </c>
      <c r="D566" s="4" t="s">
        <v>177</v>
      </c>
      <c r="F566" s="16">
        <f>F567</f>
        <v>453290.10000000003</v>
      </c>
    </row>
    <row r="567" spans="1:6" ht="45" x14ac:dyDescent="0.2">
      <c r="A567" s="55" t="s">
        <v>587</v>
      </c>
      <c r="B567" s="2" t="s">
        <v>19</v>
      </c>
      <c r="C567" s="2" t="s">
        <v>12</v>
      </c>
      <c r="D567" s="4" t="s">
        <v>178</v>
      </c>
      <c r="F567" s="16">
        <f>F568</f>
        <v>453290.10000000003</v>
      </c>
    </row>
    <row r="568" spans="1:6" ht="30" x14ac:dyDescent="0.2">
      <c r="A568" s="1" t="s">
        <v>88</v>
      </c>
      <c r="B568" s="2" t="s">
        <v>19</v>
      </c>
      <c r="C568" s="2" t="s">
        <v>12</v>
      </c>
      <c r="D568" s="4" t="s">
        <v>178</v>
      </c>
      <c r="E568" s="4">
        <v>600</v>
      </c>
      <c r="F568" s="16">
        <f>432099+13077.2+8113.9</f>
        <v>453290.10000000003</v>
      </c>
    </row>
    <row r="569" spans="1:6" ht="30" x14ac:dyDescent="0.2">
      <c r="A569" s="1" t="s">
        <v>186</v>
      </c>
      <c r="B569" s="2" t="s">
        <v>19</v>
      </c>
      <c r="C569" s="2" t="s">
        <v>12</v>
      </c>
      <c r="D569" s="4" t="s">
        <v>179</v>
      </c>
      <c r="F569" s="16">
        <f>F570</f>
        <v>2000</v>
      </c>
    </row>
    <row r="570" spans="1:6" ht="20.25" customHeight="1" x14ac:dyDescent="0.2">
      <c r="A570" s="1" t="s">
        <v>187</v>
      </c>
      <c r="B570" s="2" t="s">
        <v>19</v>
      </c>
      <c r="C570" s="2" t="s">
        <v>12</v>
      </c>
      <c r="D570" s="4" t="s">
        <v>180</v>
      </c>
      <c r="F570" s="16">
        <f>F571</f>
        <v>2000</v>
      </c>
    </row>
    <row r="571" spans="1:6" ht="30" x14ac:dyDescent="0.2">
      <c r="A571" s="1" t="s">
        <v>88</v>
      </c>
      <c r="B571" s="2" t="s">
        <v>19</v>
      </c>
      <c r="C571" s="2" t="s">
        <v>12</v>
      </c>
      <c r="D571" s="4" t="s">
        <v>180</v>
      </c>
      <c r="E571" s="4">
        <v>600</v>
      </c>
      <c r="F571" s="16">
        <v>2000</v>
      </c>
    </row>
    <row r="572" spans="1:6" ht="30" x14ac:dyDescent="0.2">
      <c r="A572" s="1" t="s">
        <v>188</v>
      </c>
      <c r="B572" s="2" t="s">
        <v>19</v>
      </c>
      <c r="C572" s="2" t="s">
        <v>12</v>
      </c>
      <c r="D572" s="4" t="s">
        <v>181</v>
      </c>
      <c r="F572" s="16">
        <f>F573</f>
        <v>7515.5</v>
      </c>
    </row>
    <row r="573" spans="1:6" ht="48" customHeight="1" x14ac:dyDescent="0.2">
      <c r="A573" s="1" t="s">
        <v>292</v>
      </c>
      <c r="B573" s="2" t="s">
        <v>19</v>
      </c>
      <c r="C573" s="2" t="s">
        <v>12</v>
      </c>
      <c r="D573" s="4" t="s">
        <v>182</v>
      </c>
      <c r="F573" s="16">
        <f>F574</f>
        <v>7515.5</v>
      </c>
    </row>
    <row r="574" spans="1:6" ht="30" x14ac:dyDescent="0.2">
      <c r="A574" s="1" t="s">
        <v>88</v>
      </c>
      <c r="B574" s="2" t="s">
        <v>19</v>
      </c>
      <c r="C574" s="2" t="s">
        <v>12</v>
      </c>
      <c r="D574" s="4" t="s">
        <v>182</v>
      </c>
      <c r="E574" s="4">
        <v>600</v>
      </c>
      <c r="F574" s="16">
        <f>1143.6+752.9+3000+2619</f>
        <v>7515.5</v>
      </c>
    </row>
    <row r="575" spans="1:6" ht="60" x14ac:dyDescent="0.2">
      <c r="A575" s="1" t="s">
        <v>594</v>
      </c>
      <c r="B575" s="2" t="s">
        <v>19</v>
      </c>
      <c r="C575" s="2" t="s">
        <v>12</v>
      </c>
      <c r="D575" s="4" t="s">
        <v>500</v>
      </c>
      <c r="F575" s="16">
        <f>F576</f>
        <v>127.1</v>
      </c>
    </row>
    <row r="576" spans="1:6" ht="60" x14ac:dyDescent="0.2">
      <c r="A576" s="1" t="s">
        <v>595</v>
      </c>
      <c r="B576" s="2" t="s">
        <v>19</v>
      </c>
      <c r="C576" s="2" t="s">
        <v>12</v>
      </c>
      <c r="D576" s="4" t="s">
        <v>501</v>
      </c>
      <c r="F576" s="16">
        <f>F577</f>
        <v>127.1</v>
      </c>
    </row>
    <row r="577" spans="1:6" ht="30" x14ac:dyDescent="0.2">
      <c r="A577" s="1" t="s">
        <v>88</v>
      </c>
      <c r="B577" s="2" t="s">
        <v>19</v>
      </c>
      <c r="C577" s="2" t="s">
        <v>12</v>
      </c>
      <c r="D577" s="4" t="s">
        <v>501</v>
      </c>
      <c r="E577" s="4">
        <v>600</v>
      </c>
      <c r="F577" s="16">
        <v>127.1</v>
      </c>
    </row>
    <row r="578" spans="1:6" ht="60" x14ac:dyDescent="0.2">
      <c r="A578" s="1" t="s">
        <v>596</v>
      </c>
      <c r="B578" s="2" t="s">
        <v>19</v>
      </c>
      <c r="C578" s="2" t="s">
        <v>12</v>
      </c>
      <c r="D578" s="4" t="s">
        <v>502</v>
      </c>
      <c r="F578" s="16">
        <f>F579</f>
        <v>23.5</v>
      </c>
    </row>
    <row r="579" spans="1:6" ht="60" x14ac:dyDescent="0.2">
      <c r="A579" s="1" t="s">
        <v>597</v>
      </c>
      <c r="B579" s="2" t="s">
        <v>19</v>
      </c>
      <c r="C579" s="2" t="s">
        <v>12</v>
      </c>
      <c r="D579" s="4" t="s">
        <v>503</v>
      </c>
      <c r="F579" s="16">
        <f>F580</f>
        <v>23.5</v>
      </c>
    </row>
    <row r="580" spans="1:6" ht="30" x14ac:dyDescent="0.2">
      <c r="A580" s="1" t="s">
        <v>88</v>
      </c>
      <c r="B580" s="2" t="s">
        <v>19</v>
      </c>
      <c r="C580" s="2" t="s">
        <v>12</v>
      </c>
      <c r="D580" s="4" t="s">
        <v>503</v>
      </c>
      <c r="E580" s="4">
        <v>600</v>
      </c>
      <c r="F580" s="16">
        <v>23.5</v>
      </c>
    </row>
    <row r="581" spans="1:6" x14ac:dyDescent="0.2">
      <c r="A581" s="28" t="s">
        <v>138</v>
      </c>
      <c r="B581" s="2" t="s">
        <v>19</v>
      </c>
      <c r="C581" s="2" t="s">
        <v>12</v>
      </c>
      <c r="D581" s="4" t="s">
        <v>139</v>
      </c>
      <c r="E581" s="2"/>
      <c r="F581" s="16">
        <f>F582</f>
        <v>1000</v>
      </c>
    </row>
    <row r="582" spans="1:6" ht="45" x14ac:dyDescent="0.2">
      <c r="A582" s="1" t="s">
        <v>244</v>
      </c>
      <c r="B582" s="2" t="s">
        <v>19</v>
      </c>
      <c r="C582" s="2" t="s">
        <v>12</v>
      </c>
      <c r="D582" s="2" t="s">
        <v>184</v>
      </c>
      <c r="E582" s="2"/>
      <c r="F582" s="16">
        <f>F583</f>
        <v>1000</v>
      </c>
    </row>
    <row r="583" spans="1:6" ht="30" x14ac:dyDescent="0.2">
      <c r="A583" s="28" t="s">
        <v>189</v>
      </c>
      <c r="B583" s="2" t="s">
        <v>19</v>
      </c>
      <c r="C583" s="2" t="s">
        <v>12</v>
      </c>
      <c r="D583" s="2" t="s">
        <v>190</v>
      </c>
      <c r="E583" s="2"/>
      <c r="F583" s="16">
        <f>F584</f>
        <v>1000</v>
      </c>
    </row>
    <row r="584" spans="1:6" ht="30" x14ac:dyDescent="0.2">
      <c r="A584" s="1" t="s">
        <v>88</v>
      </c>
      <c r="B584" s="2" t="s">
        <v>19</v>
      </c>
      <c r="C584" s="2" t="s">
        <v>12</v>
      </c>
      <c r="D584" s="2" t="s">
        <v>190</v>
      </c>
      <c r="E584" s="2" t="s">
        <v>85</v>
      </c>
      <c r="F584" s="16">
        <v>1000</v>
      </c>
    </row>
    <row r="585" spans="1:6" x14ac:dyDescent="0.2">
      <c r="A585" s="26" t="s">
        <v>95</v>
      </c>
      <c r="B585" s="2" t="s">
        <v>19</v>
      </c>
      <c r="C585" s="2" t="s">
        <v>12</v>
      </c>
      <c r="D585" s="54" t="s">
        <v>102</v>
      </c>
      <c r="E585" s="2"/>
      <c r="F585" s="16">
        <f>F586</f>
        <v>1500</v>
      </c>
    </row>
    <row r="586" spans="1:6" ht="30" x14ac:dyDescent="0.2">
      <c r="A586" s="42" t="s">
        <v>78</v>
      </c>
      <c r="B586" s="24" t="s">
        <v>19</v>
      </c>
      <c r="C586" s="24" t="s">
        <v>12</v>
      </c>
      <c r="D586" s="24" t="s">
        <v>113</v>
      </c>
      <c r="E586" s="24"/>
      <c r="F586" s="16">
        <f>F587</f>
        <v>1500</v>
      </c>
    </row>
    <row r="587" spans="1:6" ht="33" customHeight="1" x14ac:dyDescent="0.2">
      <c r="A587" s="45" t="s">
        <v>618</v>
      </c>
      <c r="B587" s="24" t="s">
        <v>19</v>
      </c>
      <c r="C587" s="24" t="s">
        <v>12</v>
      </c>
      <c r="D587" s="24" t="s">
        <v>619</v>
      </c>
      <c r="E587" s="24"/>
      <c r="F587" s="16">
        <f>F588</f>
        <v>1500</v>
      </c>
    </row>
    <row r="588" spans="1:6" ht="30" x14ac:dyDescent="0.2">
      <c r="A588" s="45" t="s">
        <v>83</v>
      </c>
      <c r="B588" s="24" t="s">
        <v>19</v>
      </c>
      <c r="C588" s="24" t="s">
        <v>12</v>
      </c>
      <c r="D588" s="24" t="s">
        <v>619</v>
      </c>
      <c r="E588" s="24" t="s">
        <v>81</v>
      </c>
      <c r="F588" s="16">
        <v>1500</v>
      </c>
    </row>
    <row r="589" spans="1:6" ht="30" x14ac:dyDescent="0.2">
      <c r="A589" s="45" t="s">
        <v>490</v>
      </c>
      <c r="B589" s="2" t="s">
        <v>19</v>
      </c>
      <c r="C589" s="2" t="s">
        <v>12</v>
      </c>
      <c r="D589" s="24" t="s">
        <v>280</v>
      </c>
      <c r="E589" s="2"/>
      <c r="F589" s="16">
        <f>F590</f>
        <v>807239.29999999993</v>
      </c>
    </row>
    <row r="590" spans="1:6" ht="30" x14ac:dyDescent="0.2">
      <c r="A590" s="1" t="s">
        <v>191</v>
      </c>
      <c r="B590" s="2" t="s">
        <v>19</v>
      </c>
      <c r="C590" s="2" t="s">
        <v>12</v>
      </c>
      <c r="D590" s="2" t="s">
        <v>287</v>
      </c>
      <c r="E590" s="2"/>
      <c r="F590" s="16">
        <f>F591+F594+F597+F600</f>
        <v>807239.29999999993</v>
      </c>
    </row>
    <row r="591" spans="1:6" ht="30" x14ac:dyDescent="0.2">
      <c r="A591" s="1" t="s">
        <v>185</v>
      </c>
      <c r="B591" s="2" t="s">
        <v>19</v>
      </c>
      <c r="C591" s="2" t="s">
        <v>12</v>
      </c>
      <c r="D591" s="2" t="s">
        <v>288</v>
      </c>
      <c r="E591" s="2"/>
      <c r="F591" s="16">
        <f>F592</f>
        <v>795100.7</v>
      </c>
    </row>
    <row r="592" spans="1:6" ht="60" x14ac:dyDescent="0.2">
      <c r="A592" s="1" t="s">
        <v>192</v>
      </c>
      <c r="B592" s="2" t="s">
        <v>19</v>
      </c>
      <c r="C592" s="2" t="s">
        <v>12</v>
      </c>
      <c r="D592" s="2" t="s">
        <v>289</v>
      </c>
      <c r="E592" s="2"/>
      <c r="F592" s="16">
        <f>F593</f>
        <v>795100.7</v>
      </c>
    </row>
    <row r="593" spans="1:6" ht="30" x14ac:dyDescent="0.2">
      <c r="A593" s="1" t="s">
        <v>88</v>
      </c>
      <c r="B593" s="2" t="s">
        <v>19</v>
      </c>
      <c r="C593" s="2" t="s">
        <v>12</v>
      </c>
      <c r="D593" s="2" t="s">
        <v>289</v>
      </c>
      <c r="E593" s="2" t="s">
        <v>85</v>
      </c>
      <c r="F593" s="16">
        <f>766158.1+28942.6</f>
        <v>795100.7</v>
      </c>
    </row>
    <row r="594" spans="1:6" ht="30" x14ac:dyDescent="0.2">
      <c r="A594" s="1" t="s">
        <v>188</v>
      </c>
      <c r="B594" s="2" t="s">
        <v>19</v>
      </c>
      <c r="C594" s="2" t="s">
        <v>12</v>
      </c>
      <c r="D594" s="2" t="s">
        <v>290</v>
      </c>
      <c r="E594" s="2"/>
      <c r="F594" s="16">
        <f>F595</f>
        <v>10933.5</v>
      </c>
    </row>
    <row r="595" spans="1:6" ht="48" customHeight="1" x14ac:dyDescent="0.2">
      <c r="A595" s="1" t="s">
        <v>292</v>
      </c>
      <c r="B595" s="2" t="s">
        <v>19</v>
      </c>
      <c r="C595" s="2" t="s">
        <v>12</v>
      </c>
      <c r="D595" s="2" t="s">
        <v>291</v>
      </c>
      <c r="E595" s="2"/>
      <c r="F595" s="16">
        <f>F596</f>
        <v>10933.5</v>
      </c>
    </row>
    <row r="596" spans="1:6" ht="30" x14ac:dyDescent="0.2">
      <c r="A596" s="1" t="s">
        <v>88</v>
      </c>
      <c r="B596" s="2" t="s">
        <v>19</v>
      </c>
      <c r="C596" s="2" t="s">
        <v>12</v>
      </c>
      <c r="D596" s="2" t="s">
        <v>291</v>
      </c>
      <c r="E596" s="2" t="s">
        <v>85</v>
      </c>
      <c r="F596" s="16">
        <f>1843.9+4678.1+800+3611.5</f>
        <v>10933.5</v>
      </c>
    </row>
    <row r="597" spans="1:6" ht="47.25" customHeight="1" x14ac:dyDescent="0.2">
      <c r="A597" s="1" t="s">
        <v>508</v>
      </c>
      <c r="B597" s="2" t="s">
        <v>19</v>
      </c>
      <c r="C597" s="2" t="s">
        <v>12</v>
      </c>
      <c r="D597" s="2" t="s">
        <v>504</v>
      </c>
      <c r="E597" s="2"/>
      <c r="F597" s="16">
        <f>F598</f>
        <v>204.9</v>
      </c>
    </row>
    <row r="598" spans="1:6" ht="45" x14ac:dyDescent="0.2">
      <c r="A598" s="1" t="s">
        <v>509</v>
      </c>
      <c r="B598" s="2" t="s">
        <v>19</v>
      </c>
      <c r="C598" s="2" t="s">
        <v>12</v>
      </c>
      <c r="D598" s="2" t="s">
        <v>505</v>
      </c>
      <c r="E598" s="2"/>
      <c r="F598" s="16">
        <f>F599</f>
        <v>204.9</v>
      </c>
    </row>
    <row r="599" spans="1:6" ht="30" x14ac:dyDescent="0.2">
      <c r="A599" s="1" t="s">
        <v>88</v>
      </c>
      <c r="B599" s="2" t="s">
        <v>19</v>
      </c>
      <c r="C599" s="2" t="s">
        <v>12</v>
      </c>
      <c r="D599" s="2" t="s">
        <v>505</v>
      </c>
      <c r="E599" s="2" t="s">
        <v>85</v>
      </c>
      <c r="F599" s="16">
        <v>204.9</v>
      </c>
    </row>
    <row r="600" spans="1:6" ht="46.5" customHeight="1" x14ac:dyDescent="0.2">
      <c r="A600" s="1" t="s">
        <v>510</v>
      </c>
      <c r="B600" s="2" t="s">
        <v>19</v>
      </c>
      <c r="C600" s="2" t="s">
        <v>12</v>
      </c>
      <c r="D600" s="2" t="s">
        <v>506</v>
      </c>
      <c r="E600" s="2"/>
      <c r="F600" s="16">
        <f>F601</f>
        <v>1000.2</v>
      </c>
    </row>
    <row r="601" spans="1:6" ht="48" customHeight="1" x14ac:dyDescent="0.2">
      <c r="A601" s="1" t="s">
        <v>511</v>
      </c>
      <c r="B601" s="2" t="s">
        <v>19</v>
      </c>
      <c r="C601" s="2" t="s">
        <v>12</v>
      </c>
      <c r="D601" s="2" t="s">
        <v>507</v>
      </c>
      <c r="E601" s="2"/>
      <c r="F601" s="16">
        <f>F602</f>
        <v>1000.2</v>
      </c>
    </row>
    <row r="602" spans="1:6" ht="30" x14ac:dyDescent="0.2">
      <c r="A602" s="1" t="s">
        <v>88</v>
      </c>
      <c r="B602" s="2" t="s">
        <v>19</v>
      </c>
      <c r="C602" s="2" t="s">
        <v>12</v>
      </c>
      <c r="D602" s="2" t="s">
        <v>507</v>
      </c>
      <c r="E602" s="2" t="s">
        <v>85</v>
      </c>
      <c r="F602" s="16">
        <v>1000.2</v>
      </c>
    </row>
    <row r="603" spans="1:6" s="35" customFormat="1" ht="14.25" x14ac:dyDescent="0.2">
      <c r="A603" s="41" t="s">
        <v>194</v>
      </c>
      <c r="B603" s="32" t="s">
        <v>19</v>
      </c>
      <c r="C603" s="32" t="s">
        <v>19</v>
      </c>
      <c r="D603" s="32"/>
      <c r="E603" s="32"/>
      <c r="F603" s="18">
        <f>F611+F619+F623+F629+F604</f>
        <v>520602.19999999995</v>
      </c>
    </row>
    <row r="604" spans="1:6" s="29" customFormat="1" ht="45" x14ac:dyDescent="0.2">
      <c r="A604" s="28" t="s">
        <v>676</v>
      </c>
      <c r="B604" s="24" t="s">
        <v>19</v>
      </c>
      <c r="C604" s="24" t="s">
        <v>19</v>
      </c>
      <c r="D604" s="24" t="s">
        <v>674</v>
      </c>
      <c r="E604" s="24"/>
      <c r="F604" s="27">
        <f>F605</f>
        <v>229559.9</v>
      </c>
    </row>
    <row r="605" spans="1:6" s="29" customFormat="1" ht="30" x14ac:dyDescent="0.2">
      <c r="A605" s="28" t="s">
        <v>705</v>
      </c>
      <c r="B605" s="24" t="s">
        <v>19</v>
      </c>
      <c r="C605" s="24" t="s">
        <v>19</v>
      </c>
      <c r="D605" s="24" t="s">
        <v>699</v>
      </c>
      <c r="E605" s="24"/>
      <c r="F605" s="27">
        <f>F606</f>
        <v>229559.9</v>
      </c>
    </row>
    <row r="606" spans="1:6" s="29" customFormat="1" ht="45" x14ac:dyDescent="0.2">
      <c r="A606" s="28" t="s">
        <v>706</v>
      </c>
      <c r="B606" s="24" t="s">
        <v>19</v>
      </c>
      <c r="C606" s="24" t="s">
        <v>19</v>
      </c>
      <c r="D606" s="24" t="s">
        <v>700</v>
      </c>
      <c r="E606" s="24"/>
      <c r="F606" s="27">
        <f>F607+F609</f>
        <v>229559.9</v>
      </c>
    </row>
    <row r="607" spans="1:6" s="29" customFormat="1" ht="30" x14ac:dyDescent="0.2">
      <c r="A607" s="28" t="s">
        <v>707</v>
      </c>
      <c r="B607" s="24" t="s">
        <v>19</v>
      </c>
      <c r="C607" s="24" t="s">
        <v>19</v>
      </c>
      <c r="D607" s="24" t="s">
        <v>703</v>
      </c>
      <c r="E607" s="24"/>
      <c r="F607" s="27">
        <f>F608</f>
        <v>227668.3</v>
      </c>
    </row>
    <row r="608" spans="1:6" s="29" customFormat="1" ht="30" x14ac:dyDescent="0.2">
      <c r="A608" s="1" t="s">
        <v>88</v>
      </c>
      <c r="B608" s="24" t="s">
        <v>19</v>
      </c>
      <c r="C608" s="24" t="s">
        <v>19</v>
      </c>
      <c r="D608" s="24" t="s">
        <v>704</v>
      </c>
      <c r="E608" s="24" t="s">
        <v>85</v>
      </c>
      <c r="F608" s="27">
        <f>225632.9+2035.4</f>
        <v>227668.3</v>
      </c>
    </row>
    <row r="609" spans="1:6" s="29" customFormat="1" ht="45" x14ac:dyDescent="0.2">
      <c r="A609" s="28" t="s">
        <v>708</v>
      </c>
      <c r="B609" s="24" t="s">
        <v>19</v>
      </c>
      <c r="C609" s="24" t="s">
        <v>19</v>
      </c>
      <c r="D609" s="24" t="s">
        <v>701</v>
      </c>
      <c r="E609" s="24"/>
      <c r="F609" s="27">
        <f>F610</f>
        <v>1891.6</v>
      </c>
    </row>
    <row r="610" spans="1:6" s="29" customFormat="1" ht="30" x14ac:dyDescent="0.2">
      <c r="A610" s="1" t="s">
        <v>88</v>
      </c>
      <c r="B610" s="24" t="s">
        <v>19</v>
      </c>
      <c r="C610" s="24" t="s">
        <v>19</v>
      </c>
      <c r="D610" s="24" t="s">
        <v>702</v>
      </c>
      <c r="E610" s="24" t="s">
        <v>85</v>
      </c>
      <c r="F610" s="27">
        <v>1891.6</v>
      </c>
    </row>
    <row r="611" spans="1:6" x14ac:dyDescent="0.2">
      <c r="A611" s="26" t="s">
        <v>95</v>
      </c>
      <c r="B611" s="2" t="s">
        <v>19</v>
      </c>
      <c r="C611" s="2" t="s">
        <v>19</v>
      </c>
      <c r="D611" s="24" t="s">
        <v>102</v>
      </c>
      <c r="E611" s="2"/>
      <c r="F611" s="16">
        <f>F612+F614+F616</f>
        <v>7036.9</v>
      </c>
    </row>
    <row r="612" spans="1:6" x14ac:dyDescent="0.2">
      <c r="A612" s="26" t="s">
        <v>200</v>
      </c>
      <c r="B612" s="2" t="s">
        <v>19</v>
      </c>
      <c r="C612" s="2" t="s">
        <v>19</v>
      </c>
      <c r="D612" s="24" t="s">
        <v>307</v>
      </c>
      <c r="E612" s="2"/>
      <c r="F612" s="16">
        <f>F613</f>
        <v>3000</v>
      </c>
    </row>
    <row r="613" spans="1:6" ht="30" x14ac:dyDescent="0.2">
      <c r="A613" s="45" t="s">
        <v>83</v>
      </c>
      <c r="B613" s="2" t="s">
        <v>19</v>
      </c>
      <c r="C613" s="2" t="s">
        <v>19</v>
      </c>
      <c r="D613" s="24" t="s">
        <v>307</v>
      </c>
      <c r="E613" s="2" t="s">
        <v>81</v>
      </c>
      <c r="F613" s="16">
        <v>3000</v>
      </c>
    </row>
    <row r="614" spans="1:6" x14ac:dyDescent="0.2">
      <c r="A614" s="28" t="s">
        <v>614</v>
      </c>
      <c r="B614" s="24" t="s">
        <v>19</v>
      </c>
      <c r="C614" s="24" t="s">
        <v>19</v>
      </c>
      <c r="D614" s="24" t="s">
        <v>617</v>
      </c>
      <c r="E614" s="24"/>
      <c r="F614" s="3">
        <f>F615</f>
        <v>2797.5</v>
      </c>
    </row>
    <row r="615" spans="1:6" ht="30" x14ac:dyDescent="0.2">
      <c r="A615" s="45" t="s">
        <v>83</v>
      </c>
      <c r="B615" s="24" t="s">
        <v>19</v>
      </c>
      <c r="C615" s="24" t="s">
        <v>19</v>
      </c>
      <c r="D615" s="24" t="s">
        <v>617</v>
      </c>
      <c r="E615" s="24" t="s">
        <v>81</v>
      </c>
      <c r="F615" s="3">
        <v>2797.5</v>
      </c>
    </row>
    <row r="616" spans="1:6" ht="30" x14ac:dyDescent="0.2">
      <c r="A616" s="42" t="s">
        <v>78</v>
      </c>
      <c r="B616" s="24" t="s">
        <v>19</v>
      </c>
      <c r="C616" s="24" t="s">
        <v>19</v>
      </c>
      <c r="D616" s="24" t="s">
        <v>113</v>
      </c>
      <c r="E616" s="24"/>
      <c r="F616" s="34">
        <f>F617</f>
        <v>1239.4000000000001</v>
      </c>
    </row>
    <row r="617" spans="1:6" ht="32.25" customHeight="1" x14ac:dyDescent="0.2">
      <c r="A617" s="45" t="s">
        <v>618</v>
      </c>
      <c r="B617" s="24" t="s">
        <v>19</v>
      </c>
      <c r="C617" s="24" t="s">
        <v>19</v>
      </c>
      <c r="D617" s="24" t="s">
        <v>619</v>
      </c>
      <c r="E617" s="24"/>
      <c r="F617" s="34">
        <f>F618</f>
        <v>1239.4000000000001</v>
      </c>
    </row>
    <row r="618" spans="1:6" ht="35.25" customHeight="1" x14ac:dyDescent="0.2">
      <c r="A618" s="1" t="s">
        <v>615</v>
      </c>
      <c r="B618" s="24" t="s">
        <v>19</v>
      </c>
      <c r="C618" s="24" t="s">
        <v>19</v>
      </c>
      <c r="D618" s="24" t="s">
        <v>619</v>
      </c>
      <c r="E618" s="24" t="s">
        <v>616</v>
      </c>
      <c r="F618" s="34">
        <v>1239.4000000000001</v>
      </c>
    </row>
    <row r="619" spans="1:6" ht="30" x14ac:dyDescent="0.2">
      <c r="A619" s="1" t="s">
        <v>263</v>
      </c>
      <c r="B619" s="2" t="s">
        <v>19</v>
      </c>
      <c r="C619" s="2" t="s">
        <v>19</v>
      </c>
      <c r="D619" s="54" t="s">
        <v>211</v>
      </c>
      <c r="E619" s="2"/>
      <c r="F619" s="16">
        <f>F620</f>
        <v>50</v>
      </c>
    </row>
    <row r="620" spans="1:6" ht="45" x14ac:dyDescent="0.2">
      <c r="A620" s="45" t="s">
        <v>440</v>
      </c>
      <c r="B620" s="2" t="s">
        <v>19</v>
      </c>
      <c r="C620" s="2" t="s">
        <v>19</v>
      </c>
      <c r="D620" s="54" t="s">
        <v>441</v>
      </c>
      <c r="E620" s="2"/>
      <c r="F620" s="16">
        <f>F621</f>
        <v>50</v>
      </c>
    </row>
    <row r="621" spans="1:6" s="29" customFormat="1" x14ac:dyDescent="0.2">
      <c r="A621" s="28" t="s">
        <v>435</v>
      </c>
      <c r="B621" s="2" t="s">
        <v>19</v>
      </c>
      <c r="C621" s="2" t="s">
        <v>19</v>
      </c>
      <c r="D621" s="24" t="s">
        <v>442</v>
      </c>
      <c r="E621" s="24"/>
      <c r="F621" s="27">
        <f>F622</f>
        <v>50</v>
      </c>
    </row>
    <row r="622" spans="1:6" s="29" customFormat="1" ht="30" x14ac:dyDescent="0.2">
      <c r="A622" s="45" t="s">
        <v>83</v>
      </c>
      <c r="B622" s="2" t="s">
        <v>19</v>
      </c>
      <c r="C622" s="2" t="s">
        <v>19</v>
      </c>
      <c r="D622" s="24" t="s">
        <v>442</v>
      </c>
      <c r="E622" s="24" t="s">
        <v>81</v>
      </c>
      <c r="F622" s="27">
        <v>50</v>
      </c>
    </row>
    <row r="623" spans="1:6" s="29" customFormat="1" ht="30" x14ac:dyDescent="0.2">
      <c r="A623" s="45" t="s">
        <v>452</v>
      </c>
      <c r="B623" s="2" t="s">
        <v>19</v>
      </c>
      <c r="C623" s="2" t="s">
        <v>19</v>
      </c>
      <c r="D623" s="24" t="s">
        <v>448</v>
      </c>
      <c r="E623" s="24"/>
      <c r="F623" s="27">
        <f>F624</f>
        <v>9571.7000000000007</v>
      </c>
    </row>
    <row r="624" spans="1:6" s="29" customFormat="1" ht="30" x14ac:dyDescent="0.2">
      <c r="A624" s="28" t="s">
        <v>564</v>
      </c>
      <c r="B624" s="2" t="s">
        <v>19</v>
      </c>
      <c r="C624" s="2" t="s">
        <v>19</v>
      </c>
      <c r="D624" s="24" t="s">
        <v>543</v>
      </c>
      <c r="E624" s="24"/>
      <c r="F624" s="27">
        <f>F625+F627</f>
        <v>9571.7000000000007</v>
      </c>
    </row>
    <row r="625" spans="1:6" s="29" customFormat="1" ht="30" x14ac:dyDescent="0.2">
      <c r="A625" s="28" t="s">
        <v>565</v>
      </c>
      <c r="B625" s="2" t="s">
        <v>19</v>
      </c>
      <c r="C625" s="2" t="s">
        <v>19</v>
      </c>
      <c r="D625" s="24" t="s">
        <v>545</v>
      </c>
      <c r="E625" s="24"/>
      <c r="F625" s="27">
        <f>F626</f>
        <v>7036.3</v>
      </c>
    </row>
    <row r="626" spans="1:6" s="29" customFormat="1" ht="30" x14ac:dyDescent="0.2">
      <c r="A626" s="1" t="s">
        <v>88</v>
      </c>
      <c r="B626" s="2" t="s">
        <v>19</v>
      </c>
      <c r="C626" s="2" t="s">
        <v>19</v>
      </c>
      <c r="D626" s="24" t="s">
        <v>546</v>
      </c>
      <c r="E626" s="24" t="s">
        <v>85</v>
      </c>
      <c r="F626" s="27">
        <f>23.7+1453.4+5559.2</f>
        <v>7036.3</v>
      </c>
    </row>
    <row r="627" spans="1:6" s="29" customFormat="1" ht="30" x14ac:dyDescent="0.2">
      <c r="A627" s="28" t="s">
        <v>566</v>
      </c>
      <c r="B627" s="2" t="s">
        <v>19</v>
      </c>
      <c r="C627" s="2" t="s">
        <v>19</v>
      </c>
      <c r="D627" s="24" t="s">
        <v>544</v>
      </c>
      <c r="E627" s="24"/>
      <c r="F627" s="27">
        <f>F628</f>
        <v>2535.4</v>
      </c>
    </row>
    <row r="628" spans="1:6" s="29" customFormat="1" ht="30" x14ac:dyDescent="0.2">
      <c r="A628" s="1" t="s">
        <v>88</v>
      </c>
      <c r="B628" s="2" t="s">
        <v>19</v>
      </c>
      <c r="C628" s="2" t="s">
        <v>19</v>
      </c>
      <c r="D628" s="24" t="s">
        <v>547</v>
      </c>
      <c r="E628" s="24" t="s">
        <v>85</v>
      </c>
      <c r="F628" s="27">
        <f>369.4+1485.7+277+403.3</f>
        <v>2535.4</v>
      </c>
    </row>
    <row r="629" spans="1:6" ht="30" x14ac:dyDescent="0.2">
      <c r="A629" s="45" t="s">
        <v>489</v>
      </c>
      <c r="B629" s="2" t="s">
        <v>19</v>
      </c>
      <c r="C629" s="2" t="s">
        <v>19</v>
      </c>
      <c r="D629" s="24" t="s">
        <v>276</v>
      </c>
      <c r="E629" s="2"/>
      <c r="F629" s="16">
        <f>F630+F643+F654</f>
        <v>274383.7</v>
      </c>
    </row>
    <row r="630" spans="1:6" ht="30" x14ac:dyDescent="0.2">
      <c r="A630" s="1" t="s">
        <v>195</v>
      </c>
      <c r="B630" s="2" t="s">
        <v>19</v>
      </c>
      <c r="C630" s="2" t="s">
        <v>19</v>
      </c>
      <c r="D630" s="24" t="s">
        <v>293</v>
      </c>
      <c r="E630" s="2"/>
      <c r="F630" s="16">
        <f>F631+F634+F637+F640</f>
        <v>263777.7</v>
      </c>
    </row>
    <row r="631" spans="1:6" ht="19.5" customHeight="1" x14ac:dyDescent="0.2">
      <c r="A631" s="1" t="s">
        <v>196</v>
      </c>
      <c r="B631" s="2" t="s">
        <v>19</v>
      </c>
      <c r="C631" s="2" t="s">
        <v>19</v>
      </c>
      <c r="D631" s="24" t="s">
        <v>294</v>
      </c>
      <c r="E631" s="2"/>
      <c r="F631" s="16">
        <f>F632</f>
        <v>248215.2</v>
      </c>
    </row>
    <row r="632" spans="1:6" ht="30" x14ac:dyDescent="0.2">
      <c r="A632" s="1" t="s">
        <v>197</v>
      </c>
      <c r="B632" s="2" t="s">
        <v>19</v>
      </c>
      <c r="C632" s="2" t="s">
        <v>19</v>
      </c>
      <c r="D632" s="24" t="s">
        <v>295</v>
      </c>
      <c r="E632" s="2"/>
      <c r="F632" s="16">
        <f>F633</f>
        <v>248215.2</v>
      </c>
    </row>
    <row r="633" spans="1:6" ht="30" x14ac:dyDescent="0.2">
      <c r="A633" s="1" t="s">
        <v>88</v>
      </c>
      <c r="B633" s="2" t="s">
        <v>19</v>
      </c>
      <c r="C633" s="2" t="s">
        <v>19</v>
      </c>
      <c r="D633" s="24" t="s">
        <v>295</v>
      </c>
      <c r="E633" s="2" t="s">
        <v>85</v>
      </c>
      <c r="F633" s="16">
        <f>247123.2+1092</f>
        <v>248215.2</v>
      </c>
    </row>
    <row r="634" spans="1:6" s="29" customFormat="1" ht="30" x14ac:dyDescent="0.2">
      <c r="A634" s="28" t="s">
        <v>188</v>
      </c>
      <c r="B634" s="24" t="s">
        <v>19</v>
      </c>
      <c r="C634" s="24" t="s">
        <v>19</v>
      </c>
      <c r="D634" s="24" t="s">
        <v>296</v>
      </c>
      <c r="E634" s="24"/>
      <c r="F634" s="27">
        <f>F635</f>
        <v>15084.5</v>
      </c>
    </row>
    <row r="635" spans="1:6" ht="48" customHeight="1" x14ac:dyDescent="0.2">
      <c r="A635" s="1" t="s">
        <v>292</v>
      </c>
      <c r="B635" s="2" t="s">
        <v>19</v>
      </c>
      <c r="C635" s="2" t="s">
        <v>19</v>
      </c>
      <c r="D635" s="24" t="s">
        <v>297</v>
      </c>
      <c r="E635" s="2"/>
      <c r="F635" s="16">
        <f>F636</f>
        <v>15084.5</v>
      </c>
    </row>
    <row r="636" spans="1:6" ht="30" x14ac:dyDescent="0.2">
      <c r="A636" s="1" t="s">
        <v>88</v>
      </c>
      <c r="B636" s="2" t="s">
        <v>19</v>
      </c>
      <c r="C636" s="2" t="s">
        <v>19</v>
      </c>
      <c r="D636" s="24" t="s">
        <v>297</v>
      </c>
      <c r="E636" s="2" t="s">
        <v>85</v>
      </c>
      <c r="F636" s="16">
        <f>3100+2026.1+9958.4</f>
        <v>15084.5</v>
      </c>
    </row>
    <row r="637" spans="1:6" ht="45" x14ac:dyDescent="0.2">
      <c r="A637" s="1" t="s">
        <v>568</v>
      </c>
      <c r="B637" s="2" t="s">
        <v>19</v>
      </c>
      <c r="C637" s="2" t="s">
        <v>19</v>
      </c>
      <c r="D637" s="24" t="s">
        <v>549</v>
      </c>
      <c r="E637" s="2"/>
      <c r="F637" s="16">
        <f>F638</f>
        <v>350</v>
      </c>
    </row>
    <row r="638" spans="1:6" ht="45" x14ac:dyDescent="0.2">
      <c r="A638" s="1" t="s">
        <v>569</v>
      </c>
      <c r="B638" s="2" t="s">
        <v>19</v>
      </c>
      <c r="C638" s="2" t="s">
        <v>19</v>
      </c>
      <c r="D638" s="24" t="s">
        <v>550</v>
      </c>
      <c r="E638" s="2"/>
      <c r="F638" s="16">
        <f>F639</f>
        <v>350</v>
      </c>
    </row>
    <row r="639" spans="1:6" ht="30" x14ac:dyDescent="0.2">
      <c r="A639" s="1" t="s">
        <v>88</v>
      </c>
      <c r="B639" s="2" t="s">
        <v>19</v>
      </c>
      <c r="C639" s="2" t="s">
        <v>19</v>
      </c>
      <c r="D639" s="24" t="s">
        <v>550</v>
      </c>
      <c r="E639" s="2" t="s">
        <v>85</v>
      </c>
      <c r="F639" s="16">
        <v>350</v>
      </c>
    </row>
    <row r="640" spans="1:6" ht="33" customHeight="1" x14ac:dyDescent="0.2">
      <c r="A640" s="1" t="s">
        <v>570</v>
      </c>
      <c r="B640" s="2" t="s">
        <v>19</v>
      </c>
      <c r="C640" s="2" t="s">
        <v>19</v>
      </c>
      <c r="D640" s="24" t="s">
        <v>551</v>
      </c>
      <c r="E640" s="2"/>
      <c r="F640" s="16">
        <f>F641</f>
        <v>128</v>
      </c>
    </row>
    <row r="641" spans="1:6" ht="45" x14ac:dyDescent="0.2">
      <c r="A641" s="1" t="s">
        <v>571</v>
      </c>
      <c r="B641" s="2" t="s">
        <v>19</v>
      </c>
      <c r="C641" s="2" t="s">
        <v>19</v>
      </c>
      <c r="D641" s="24" t="s">
        <v>552</v>
      </c>
      <c r="E641" s="2"/>
      <c r="F641" s="16">
        <f>F642</f>
        <v>128</v>
      </c>
    </row>
    <row r="642" spans="1:6" ht="30" x14ac:dyDescent="0.2">
      <c r="A642" s="1" t="s">
        <v>88</v>
      </c>
      <c r="B642" s="2" t="s">
        <v>19</v>
      </c>
      <c r="C642" s="2" t="s">
        <v>19</v>
      </c>
      <c r="D642" s="24" t="s">
        <v>552</v>
      </c>
      <c r="E642" s="2" t="s">
        <v>85</v>
      </c>
      <c r="F642" s="16">
        <v>128</v>
      </c>
    </row>
    <row r="643" spans="1:6" ht="30" x14ac:dyDescent="0.2">
      <c r="A643" s="45" t="s">
        <v>198</v>
      </c>
      <c r="B643" s="2" t="s">
        <v>19</v>
      </c>
      <c r="C643" s="2" t="s">
        <v>19</v>
      </c>
      <c r="D643" s="24" t="s">
        <v>298</v>
      </c>
      <c r="E643" s="2"/>
      <c r="F643" s="16">
        <f>F644+F648+F651</f>
        <v>9746</v>
      </c>
    </row>
    <row r="644" spans="1:6" ht="30" x14ac:dyDescent="0.2">
      <c r="A644" s="42" t="s">
        <v>199</v>
      </c>
      <c r="B644" s="2" t="s">
        <v>19</v>
      </c>
      <c r="C644" s="2" t="s">
        <v>19</v>
      </c>
      <c r="D644" s="24" t="s">
        <v>299</v>
      </c>
      <c r="E644" s="2"/>
      <c r="F644" s="16">
        <f>F645</f>
        <v>8546</v>
      </c>
    </row>
    <row r="645" spans="1:6" ht="18" customHeight="1" x14ac:dyDescent="0.2">
      <c r="A645" s="42" t="s">
        <v>200</v>
      </c>
      <c r="B645" s="2" t="s">
        <v>19</v>
      </c>
      <c r="C645" s="2" t="s">
        <v>19</v>
      </c>
      <c r="D645" s="24" t="s">
        <v>300</v>
      </c>
      <c r="E645" s="2"/>
      <c r="F645" s="16">
        <f>SUM(F646:F647)</f>
        <v>8546</v>
      </c>
    </row>
    <row r="646" spans="1:6" ht="30" x14ac:dyDescent="0.2">
      <c r="A646" s="45" t="s">
        <v>83</v>
      </c>
      <c r="B646" s="2" t="s">
        <v>19</v>
      </c>
      <c r="C646" s="2" t="s">
        <v>19</v>
      </c>
      <c r="D646" s="24" t="s">
        <v>300</v>
      </c>
      <c r="E646" s="2" t="s">
        <v>81</v>
      </c>
      <c r="F646" s="16">
        <f>4765+100</f>
        <v>4865</v>
      </c>
    </row>
    <row r="647" spans="1:6" x14ac:dyDescent="0.2">
      <c r="A647" s="26" t="s">
        <v>91</v>
      </c>
      <c r="B647" s="2" t="s">
        <v>19</v>
      </c>
      <c r="C647" s="2" t="s">
        <v>19</v>
      </c>
      <c r="D647" s="24" t="s">
        <v>300</v>
      </c>
      <c r="E647" s="2" t="s">
        <v>90</v>
      </c>
      <c r="F647" s="16">
        <v>3681</v>
      </c>
    </row>
    <row r="648" spans="1:6" ht="30" x14ac:dyDescent="0.2">
      <c r="A648" s="26" t="s">
        <v>301</v>
      </c>
      <c r="B648" s="2" t="s">
        <v>19</v>
      </c>
      <c r="C648" s="2" t="s">
        <v>19</v>
      </c>
      <c r="D648" s="24" t="s">
        <v>302</v>
      </c>
      <c r="E648" s="2"/>
      <c r="F648" s="16">
        <f>F649</f>
        <v>1060</v>
      </c>
    </row>
    <row r="649" spans="1:6" ht="30" x14ac:dyDescent="0.2">
      <c r="A649" s="26" t="s">
        <v>303</v>
      </c>
      <c r="B649" s="2" t="s">
        <v>19</v>
      </c>
      <c r="C649" s="2" t="s">
        <v>19</v>
      </c>
      <c r="D649" s="24" t="s">
        <v>304</v>
      </c>
      <c r="E649" s="2"/>
      <c r="F649" s="16">
        <f>F650</f>
        <v>1060</v>
      </c>
    </row>
    <row r="650" spans="1:6" x14ac:dyDescent="0.2">
      <c r="A650" s="26" t="s">
        <v>91</v>
      </c>
      <c r="B650" s="2" t="s">
        <v>19</v>
      </c>
      <c r="C650" s="2" t="s">
        <v>19</v>
      </c>
      <c r="D650" s="24" t="s">
        <v>304</v>
      </c>
      <c r="E650" s="2" t="s">
        <v>90</v>
      </c>
      <c r="F650" s="16">
        <f>1160-100</f>
        <v>1060</v>
      </c>
    </row>
    <row r="651" spans="1:6" ht="30" x14ac:dyDescent="0.2">
      <c r="A651" s="26" t="s">
        <v>404</v>
      </c>
      <c r="B651" s="2" t="s">
        <v>19</v>
      </c>
      <c r="C651" s="2" t="s">
        <v>19</v>
      </c>
      <c r="D651" s="24" t="s">
        <v>305</v>
      </c>
      <c r="E651" s="2"/>
      <c r="F651" s="16">
        <f>F652</f>
        <v>140</v>
      </c>
    </row>
    <row r="652" spans="1:6" x14ac:dyDescent="0.2">
      <c r="A652" s="26" t="s">
        <v>405</v>
      </c>
      <c r="B652" s="2" t="s">
        <v>19</v>
      </c>
      <c r="C652" s="2" t="s">
        <v>19</v>
      </c>
      <c r="D652" s="24" t="s">
        <v>306</v>
      </c>
      <c r="E652" s="2"/>
      <c r="F652" s="16">
        <f>F653</f>
        <v>140</v>
      </c>
    </row>
    <row r="653" spans="1:6" ht="30" x14ac:dyDescent="0.2">
      <c r="A653" s="45" t="s">
        <v>83</v>
      </c>
      <c r="B653" s="2" t="s">
        <v>19</v>
      </c>
      <c r="C653" s="2" t="s">
        <v>19</v>
      </c>
      <c r="D653" s="24" t="s">
        <v>306</v>
      </c>
      <c r="E653" s="2" t="s">
        <v>81</v>
      </c>
      <c r="F653" s="16">
        <v>140</v>
      </c>
    </row>
    <row r="654" spans="1:6" ht="30" x14ac:dyDescent="0.2">
      <c r="A654" s="45" t="s">
        <v>515</v>
      </c>
      <c r="B654" s="2" t="s">
        <v>19</v>
      </c>
      <c r="C654" s="2" t="s">
        <v>19</v>
      </c>
      <c r="D654" s="24" t="s">
        <v>512</v>
      </c>
      <c r="E654" s="2"/>
      <c r="F654" s="16">
        <f>F655</f>
        <v>860</v>
      </c>
    </row>
    <row r="655" spans="1:6" ht="30" x14ac:dyDescent="0.2">
      <c r="A655" s="45" t="s">
        <v>517</v>
      </c>
      <c r="B655" s="2" t="s">
        <v>19</v>
      </c>
      <c r="C655" s="2" t="s">
        <v>19</v>
      </c>
      <c r="D655" s="24" t="s">
        <v>513</v>
      </c>
      <c r="E655" s="2"/>
      <c r="F655" s="16">
        <f>F656</f>
        <v>860</v>
      </c>
    </row>
    <row r="656" spans="1:6" ht="30" x14ac:dyDescent="0.2">
      <c r="A656" s="45" t="s">
        <v>516</v>
      </c>
      <c r="B656" s="2" t="s">
        <v>19</v>
      </c>
      <c r="C656" s="2" t="s">
        <v>19</v>
      </c>
      <c r="D656" s="24" t="s">
        <v>514</v>
      </c>
      <c r="E656" s="2"/>
      <c r="F656" s="16">
        <f>F657+F658</f>
        <v>860</v>
      </c>
    </row>
    <row r="657" spans="1:6" ht="30" x14ac:dyDescent="0.2">
      <c r="A657" s="45" t="s">
        <v>83</v>
      </c>
      <c r="B657" s="2" t="s">
        <v>19</v>
      </c>
      <c r="C657" s="2" t="s">
        <v>19</v>
      </c>
      <c r="D657" s="24" t="s">
        <v>514</v>
      </c>
      <c r="E657" s="2" t="s">
        <v>81</v>
      </c>
      <c r="F657" s="16">
        <v>620</v>
      </c>
    </row>
    <row r="658" spans="1:6" x14ac:dyDescent="0.2">
      <c r="A658" s="26" t="s">
        <v>91</v>
      </c>
      <c r="B658" s="2" t="s">
        <v>19</v>
      </c>
      <c r="C658" s="2" t="s">
        <v>19</v>
      </c>
      <c r="D658" s="24" t="s">
        <v>514</v>
      </c>
      <c r="E658" s="2" t="s">
        <v>90</v>
      </c>
      <c r="F658" s="16">
        <v>240</v>
      </c>
    </row>
    <row r="659" spans="1:6" x14ac:dyDescent="0.2">
      <c r="A659" s="12" t="s">
        <v>40</v>
      </c>
      <c r="B659" s="13" t="s">
        <v>19</v>
      </c>
      <c r="C659" s="13" t="s">
        <v>28</v>
      </c>
      <c r="D659" s="13"/>
      <c r="E659" s="13"/>
      <c r="F659" s="18">
        <f>F660+F670+F714+F743+F722+F733+F709</f>
        <v>1767820.9000000001</v>
      </c>
    </row>
    <row r="660" spans="1:6" ht="30" x14ac:dyDescent="0.2">
      <c r="A660" s="68" t="s">
        <v>443</v>
      </c>
      <c r="B660" s="2" t="s">
        <v>19</v>
      </c>
      <c r="C660" s="2" t="s">
        <v>28</v>
      </c>
      <c r="D660" s="54" t="s">
        <v>130</v>
      </c>
      <c r="E660" s="13"/>
      <c r="F660" s="27">
        <f>F661</f>
        <v>95781.3</v>
      </c>
    </row>
    <row r="661" spans="1:6" ht="45" x14ac:dyDescent="0.25">
      <c r="A661" s="67" t="s">
        <v>444</v>
      </c>
      <c r="B661" s="2" t="s">
        <v>19</v>
      </c>
      <c r="C661" s="2" t="s">
        <v>28</v>
      </c>
      <c r="D661" s="54" t="s">
        <v>131</v>
      </c>
      <c r="E661" s="13"/>
      <c r="F661" s="27">
        <f>F662+F667</f>
        <v>95781.3</v>
      </c>
    </row>
    <row r="662" spans="1:6" ht="105" x14ac:dyDescent="0.2">
      <c r="A662" s="1" t="s">
        <v>132</v>
      </c>
      <c r="B662" s="2" t="s">
        <v>19</v>
      </c>
      <c r="C662" s="2" t="s">
        <v>28</v>
      </c>
      <c r="D662" s="2" t="s">
        <v>133</v>
      </c>
      <c r="E662" s="2"/>
      <c r="F662" s="16">
        <f>F663</f>
        <v>22902.300000000003</v>
      </c>
    </row>
    <row r="663" spans="1:6" ht="30" x14ac:dyDescent="0.2">
      <c r="A663" s="42" t="s">
        <v>213</v>
      </c>
      <c r="B663" s="24" t="s">
        <v>19</v>
      </c>
      <c r="C663" s="24" t="s">
        <v>28</v>
      </c>
      <c r="D663" s="2" t="s">
        <v>203</v>
      </c>
      <c r="E663" s="24"/>
      <c r="F663" s="27">
        <f>SUM(F664:F666)</f>
        <v>22902.300000000003</v>
      </c>
    </row>
    <row r="664" spans="1:6" ht="60" x14ac:dyDescent="0.2">
      <c r="A664" s="45" t="s">
        <v>84</v>
      </c>
      <c r="B664" s="24" t="s">
        <v>19</v>
      </c>
      <c r="C664" s="24" t="s">
        <v>28</v>
      </c>
      <c r="D664" s="2" t="s">
        <v>203</v>
      </c>
      <c r="E664" s="24" t="s">
        <v>80</v>
      </c>
      <c r="F664" s="27">
        <f>21665.9-1528.8</f>
        <v>20137.100000000002</v>
      </c>
    </row>
    <row r="665" spans="1:6" ht="30" x14ac:dyDescent="0.2">
      <c r="A665" s="45" t="s">
        <v>83</v>
      </c>
      <c r="B665" s="24" t="s">
        <v>19</v>
      </c>
      <c r="C665" s="24" t="s">
        <v>28</v>
      </c>
      <c r="D665" s="2" t="s">
        <v>203</v>
      </c>
      <c r="E665" s="24" t="s">
        <v>81</v>
      </c>
      <c r="F665" s="27">
        <f>1150.5+1528.8</f>
        <v>2679.3</v>
      </c>
    </row>
    <row r="666" spans="1:6" x14ac:dyDescent="0.2">
      <c r="A666" s="45" t="s">
        <v>86</v>
      </c>
      <c r="B666" s="2" t="s">
        <v>19</v>
      </c>
      <c r="C666" s="2" t="s">
        <v>28</v>
      </c>
      <c r="D666" s="2" t="s">
        <v>203</v>
      </c>
      <c r="E666" s="2" t="s">
        <v>82</v>
      </c>
      <c r="F666" s="16">
        <v>85.9</v>
      </c>
    </row>
    <row r="667" spans="1:6" ht="30" x14ac:dyDescent="0.2">
      <c r="A667" s="1" t="s">
        <v>711</v>
      </c>
      <c r="B667" s="2" t="s">
        <v>19</v>
      </c>
      <c r="C667" s="2" t="s">
        <v>28</v>
      </c>
      <c r="D667" s="2" t="s">
        <v>709</v>
      </c>
      <c r="E667" s="2"/>
      <c r="F667" s="16">
        <f>F668</f>
        <v>72879</v>
      </c>
    </row>
    <row r="668" spans="1:6" x14ac:dyDescent="0.2">
      <c r="A668" s="45" t="s">
        <v>714</v>
      </c>
      <c r="B668" s="2" t="s">
        <v>19</v>
      </c>
      <c r="C668" s="2" t="s">
        <v>28</v>
      </c>
      <c r="D668" s="2" t="s">
        <v>713</v>
      </c>
      <c r="E668" s="2"/>
      <c r="F668" s="16">
        <f>F669</f>
        <v>72879</v>
      </c>
    </row>
    <row r="669" spans="1:6" ht="30" x14ac:dyDescent="0.2">
      <c r="A669" s="1" t="s">
        <v>88</v>
      </c>
      <c r="B669" s="2" t="s">
        <v>19</v>
      </c>
      <c r="C669" s="2" t="s">
        <v>28</v>
      </c>
      <c r="D669" s="2" t="s">
        <v>713</v>
      </c>
      <c r="E669" s="2" t="s">
        <v>85</v>
      </c>
      <c r="F669" s="16">
        <v>72879</v>
      </c>
    </row>
    <row r="670" spans="1:6" ht="30" x14ac:dyDescent="0.2">
      <c r="A670" s="51" t="s">
        <v>488</v>
      </c>
      <c r="B670" s="2" t="s">
        <v>19</v>
      </c>
      <c r="C670" s="2" t="s">
        <v>28</v>
      </c>
      <c r="D670" s="54" t="s">
        <v>130</v>
      </c>
      <c r="E670" s="24"/>
      <c r="F670" s="27">
        <f>F671+F684+F680+F705</f>
        <v>634495.89999999991</v>
      </c>
    </row>
    <row r="671" spans="1:6" ht="30" x14ac:dyDescent="0.2">
      <c r="A671" s="51" t="s">
        <v>167</v>
      </c>
      <c r="B671" s="2" t="s">
        <v>19</v>
      </c>
      <c r="C671" s="2" t="s">
        <v>28</v>
      </c>
      <c r="D671" s="54" t="s">
        <v>131</v>
      </c>
      <c r="E671" s="2"/>
      <c r="F671" s="16">
        <f>F672+F677</f>
        <v>110607</v>
      </c>
    </row>
    <row r="672" spans="1:6" x14ac:dyDescent="0.2">
      <c r="A672" s="26" t="s">
        <v>267</v>
      </c>
      <c r="B672" s="2" t="s">
        <v>19</v>
      </c>
      <c r="C672" s="2" t="s">
        <v>28</v>
      </c>
      <c r="D672" s="54" t="s">
        <v>168</v>
      </c>
      <c r="E672" s="2"/>
      <c r="F672" s="16">
        <f>F673+F675</f>
        <v>86899.5</v>
      </c>
    </row>
    <row r="673" spans="1:6" x14ac:dyDescent="0.2">
      <c r="A673" s="45" t="s">
        <v>212</v>
      </c>
      <c r="B673" s="2" t="s">
        <v>19</v>
      </c>
      <c r="C673" s="2" t="s">
        <v>28</v>
      </c>
      <c r="D673" s="54" t="s">
        <v>201</v>
      </c>
      <c r="E673" s="2"/>
      <c r="F673" s="16">
        <f>F674</f>
        <v>14127.900000000001</v>
      </c>
    </row>
    <row r="674" spans="1:6" ht="30" x14ac:dyDescent="0.2">
      <c r="A674" s="45" t="s">
        <v>83</v>
      </c>
      <c r="B674" s="2" t="s">
        <v>19</v>
      </c>
      <c r="C674" s="2" t="s">
        <v>28</v>
      </c>
      <c r="D674" s="54" t="s">
        <v>201</v>
      </c>
      <c r="E674" s="2" t="s">
        <v>81</v>
      </c>
      <c r="F674" s="16">
        <f>13712.2+415.7</f>
        <v>14127.900000000001</v>
      </c>
    </row>
    <row r="675" spans="1:6" ht="45" x14ac:dyDescent="0.2">
      <c r="A675" s="1" t="s">
        <v>271</v>
      </c>
      <c r="B675" s="2" t="s">
        <v>19</v>
      </c>
      <c r="C675" s="2" t="s">
        <v>28</v>
      </c>
      <c r="D675" s="54" t="s">
        <v>202</v>
      </c>
      <c r="E675" s="2"/>
      <c r="F675" s="16">
        <f>F676</f>
        <v>72771.600000000006</v>
      </c>
    </row>
    <row r="676" spans="1:6" ht="30" x14ac:dyDescent="0.2">
      <c r="A676" s="1" t="s">
        <v>88</v>
      </c>
      <c r="B676" s="2" t="s">
        <v>19</v>
      </c>
      <c r="C676" s="2" t="s">
        <v>28</v>
      </c>
      <c r="D676" s="54" t="s">
        <v>202</v>
      </c>
      <c r="E676" s="2" t="s">
        <v>85</v>
      </c>
      <c r="F676" s="16">
        <f>73252.8-481.2</f>
        <v>72771.600000000006</v>
      </c>
    </row>
    <row r="677" spans="1:6" ht="30" x14ac:dyDescent="0.2">
      <c r="A677" s="1" t="s">
        <v>711</v>
      </c>
      <c r="B677" s="2" t="s">
        <v>19</v>
      </c>
      <c r="C677" s="2" t="s">
        <v>28</v>
      </c>
      <c r="D677" s="54" t="s">
        <v>709</v>
      </c>
      <c r="E677" s="2"/>
      <c r="F677" s="16">
        <f>F678</f>
        <v>23707.5</v>
      </c>
    </row>
    <row r="678" spans="1:6" ht="30" x14ac:dyDescent="0.2">
      <c r="A678" s="1" t="s">
        <v>712</v>
      </c>
      <c r="B678" s="2" t="s">
        <v>19</v>
      </c>
      <c r="C678" s="2" t="s">
        <v>28</v>
      </c>
      <c r="D678" s="54" t="s">
        <v>710</v>
      </c>
      <c r="E678" s="2"/>
      <c r="F678" s="16">
        <f>F679</f>
        <v>23707.5</v>
      </c>
    </row>
    <row r="679" spans="1:6" ht="30" x14ac:dyDescent="0.2">
      <c r="A679" s="1" t="s">
        <v>88</v>
      </c>
      <c r="B679" s="2" t="s">
        <v>19</v>
      </c>
      <c r="C679" s="2" t="s">
        <v>28</v>
      </c>
      <c r="D679" s="54" t="s">
        <v>710</v>
      </c>
      <c r="E679" s="2" t="s">
        <v>85</v>
      </c>
      <c r="F679" s="16">
        <f>59.9+23647.6</f>
        <v>23707.5</v>
      </c>
    </row>
    <row r="680" spans="1:6" ht="45" x14ac:dyDescent="0.2">
      <c r="A680" s="1" t="s">
        <v>750</v>
      </c>
      <c r="B680" s="2" t="s">
        <v>19</v>
      </c>
      <c r="C680" s="2" t="s">
        <v>28</v>
      </c>
      <c r="D680" s="20" t="s">
        <v>751</v>
      </c>
      <c r="E680" s="2"/>
      <c r="F680" s="16">
        <f>F681</f>
        <v>1350</v>
      </c>
    </row>
    <row r="681" spans="1:6" ht="30" x14ac:dyDescent="0.2">
      <c r="A681" s="1" t="s">
        <v>752</v>
      </c>
      <c r="B681" s="2" t="s">
        <v>19</v>
      </c>
      <c r="C681" s="2" t="s">
        <v>28</v>
      </c>
      <c r="D681" s="20" t="s">
        <v>753</v>
      </c>
      <c r="E681" s="2"/>
      <c r="F681" s="16">
        <f>F682</f>
        <v>1350</v>
      </c>
    </row>
    <row r="682" spans="1:6" ht="30" x14ac:dyDescent="0.2">
      <c r="A682" s="1" t="s">
        <v>754</v>
      </c>
      <c r="B682" s="2" t="s">
        <v>19</v>
      </c>
      <c r="C682" s="2" t="s">
        <v>28</v>
      </c>
      <c r="D682" s="20" t="s">
        <v>740</v>
      </c>
      <c r="E682" s="2"/>
      <c r="F682" s="16">
        <f>F683</f>
        <v>1350</v>
      </c>
    </row>
    <row r="683" spans="1:6" x14ac:dyDescent="0.2">
      <c r="A683" s="26" t="s">
        <v>91</v>
      </c>
      <c r="B683" s="2" t="s">
        <v>19</v>
      </c>
      <c r="C683" s="2" t="s">
        <v>28</v>
      </c>
      <c r="D683" s="54" t="s">
        <v>740</v>
      </c>
      <c r="E683" s="2" t="s">
        <v>90</v>
      </c>
      <c r="F683" s="16">
        <v>1350</v>
      </c>
    </row>
    <row r="684" spans="1:6" x14ac:dyDescent="0.2">
      <c r="A684" s="45" t="s">
        <v>135</v>
      </c>
      <c r="B684" s="2" t="s">
        <v>19</v>
      </c>
      <c r="C684" s="2" t="s">
        <v>28</v>
      </c>
      <c r="D684" s="2" t="s">
        <v>136</v>
      </c>
      <c r="E684" s="2"/>
      <c r="F684" s="16">
        <f>F685+F691+F696+F699+F702</f>
        <v>502538.89999999997</v>
      </c>
    </row>
    <row r="685" spans="1:6" ht="30" x14ac:dyDescent="0.2">
      <c r="A685" s="45" t="s">
        <v>272</v>
      </c>
      <c r="B685" s="2" t="s">
        <v>19</v>
      </c>
      <c r="C685" s="2" t="s">
        <v>28</v>
      </c>
      <c r="D685" s="2" t="s">
        <v>142</v>
      </c>
      <c r="E685" s="2"/>
      <c r="F685" s="27">
        <f>F686</f>
        <v>325133.69999999995</v>
      </c>
    </row>
    <row r="686" spans="1:6" ht="30" x14ac:dyDescent="0.2">
      <c r="A686" s="45" t="s">
        <v>214</v>
      </c>
      <c r="B686" s="2" t="s">
        <v>19</v>
      </c>
      <c r="C686" s="2" t="s">
        <v>28</v>
      </c>
      <c r="D686" s="2" t="s">
        <v>204</v>
      </c>
      <c r="E686" s="2"/>
      <c r="F686" s="27">
        <f>SUM(F687:F690)</f>
        <v>325133.69999999995</v>
      </c>
    </row>
    <row r="687" spans="1:6" ht="60" x14ac:dyDescent="0.2">
      <c r="A687" s="45" t="s">
        <v>84</v>
      </c>
      <c r="B687" s="2" t="s">
        <v>19</v>
      </c>
      <c r="C687" s="2" t="s">
        <v>28</v>
      </c>
      <c r="D687" s="2" t="s">
        <v>204</v>
      </c>
      <c r="E687" s="2" t="s">
        <v>80</v>
      </c>
      <c r="F687" s="16">
        <f>232290.5+28951.9+37651.6+9110.6</f>
        <v>308004.59999999998</v>
      </c>
    </row>
    <row r="688" spans="1:6" ht="30" x14ac:dyDescent="0.2">
      <c r="A688" s="45" t="s">
        <v>83</v>
      </c>
      <c r="B688" s="2" t="s">
        <v>19</v>
      </c>
      <c r="C688" s="2" t="s">
        <v>28</v>
      </c>
      <c r="D688" s="2" t="s">
        <v>204</v>
      </c>
      <c r="E688" s="2" t="s">
        <v>81</v>
      </c>
      <c r="F688" s="16">
        <v>16780.3</v>
      </c>
    </row>
    <row r="689" spans="1:6" ht="30" x14ac:dyDescent="0.2">
      <c r="A689" s="1" t="s">
        <v>88</v>
      </c>
      <c r="B689" s="2" t="s">
        <v>19</v>
      </c>
      <c r="C689" s="2" t="s">
        <v>28</v>
      </c>
      <c r="D689" s="2" t="s">
        <v>204</v>
      </c>
      <c r="E689" s="2" t="s">
        <v>85</v>
      </c>
      <c r="F689" s="16">
        <v>104.8</v>
      </c>
    </row>
    <row r="690" spans="1:6" x14ac:dyDescent="0.2">
      <c r="A690" s="45" t="s">
        <v>86</v>
      </c>
      <c r="B690" s="2" t="s">
        <v>19</v>
      </c>
      <c r="C690" s="2" t="s">
        <v>28</v>
      </c>
      <c r="D690" s="2" t="s">
        <v>204</v>
      </c>
      <c r="E690" s="2" t="s">
        <v>82</v>
      </c>
      <c r="F690" s="16">
        <f>155.9+88.1</f>
        <v>244</v>
      </c>
    </row>
    <row r="691" spans="1:6" ht="30" x14ac:dyDescent="0.2">
      <c r="A691" s="45" t="s">
        <v>273</v>
      </c>
      <c r="B691" s="2" t="s">
        <v>19</v>
      </c>
      <c r="C691" s="2" t="s">
        <v>28</v>
      </c>
      <c r="D691" s="2" t="s">
        <v>205</v>
      </c>
      <c r="E691" s="2"/>
      <c r="F691" s="16">
        <f>F692</f>
        <v>64435.5</v>
      </c>
    </row>
    <row r="692" spans="1:6" ht="30" x14ac:dyDescent="0.2">
      <c r="A692" s="1" t="s">
        <v>215</v>
      </c>
      <c r="B692" s="2" t="s">
        <v>19</v>
      </c>
      <c r="C692" s="2" t="s">
        <v>28</v>
      </c>
      <c r="D692" s="2" t="s">
        <v>206</v>
      </c>
      <c r="E692" s="2"/>
      <c r="F692" s="16">
        <f>SUM(F693:F695)</f>
        <v>64435.5</v>
      </c>
    </row>
    <row r="693" spans="1:6" ht="30" x14ac:dyDescent="0.2">
      <c r="A693" s="45" t="s">
        <v>83</v>
      </c>
      <c r="B693" s="2" t="s">
        <v>19</v>
      </c>
      <c r="C693" s="2" t="s">
        <v>28</v>
      </c>
      <c r="D693" s="2" t="s">
        <v>206</v>
      </c>
      <c r="E693" s="2" t="s">
        <v>81</v>
      </c>
      <c r="F693" s="16">
        <f>48939.5+111.7</f>
        <v>49051.199999999997</v>
      </c>
    </row>
    <row r="694" spans="1:6" x14ac:dyDescent="0.2">
      <c r="A694" s="45" t="s">
        <v>91</v>
      </c>
      <c r="B694" s="2" t="s">
        <v>19</v>
      </c>
      <c r="C694" s="2" t="s">
        <v>28</v>
      </c>
      <c r="D694" s="2" t="s">
        <v>206</v>
      </c>
      <c r="E694" s="2" t="s">
        <v>90</v>
      </c>
      <c r="F694" s="16">
        <v>10000</v>
      </c>
    </row>
    <row r="695" spans="1:6" ht="30" x14ac:dyDescent="0.2">
      <c r="A695" s="1" t="s">
        <v>88</v>
      </c>
      <c r="B695" s="2" t="s">
        <v>19</v>
      </c>
      <c r="C695" s="2" t="s">
        <v>28</v>
      </c>
      <c r="D695" s="2" t="s">
        <v>206</v>
      </c>
      <c r="E695" s="2" t="s">
        <v>85</v>
      </c>
      <c r="F695" s="16">
        <f>5800-415.7</f>
        <v>5384.3</v>
      </c>
    </row>
    <row r="696" spans="1:6" ht="30" x14ac:dyDescent="0.2">
      <c r="A696" s="1" t="s">
        <v>274</v>
      </c>
      <c r="B696" s="2" t="s">
        <v>19</v>
      </c>
      <c r="C696" s="2" t="s">
        <v>28</v>
      </c>
      <c r="D696" s="2" t="s">
        <v>207</v>
      </c>
      <c r="E696" s="2"/>
      <c r="F696" s="16">
        <f>F697</f>
        <v>96690</v>
      </c>
    </row>
    <row r="697" spans="1:6" ht="45.75" customHeight="1" x14ac:dyDescent="0.2">
      <c r="A697" s="1" t="s">
        <v>183</v>
      </c>
      <c r="B697" s="2" t="s">
        <v>19</v>
      </c>
      <c r="C697" s="2" t="s">
        <v>28</v>
      </c>
      <c r="D697" s="2" t="s">
        <v>208</v>
      </c>
      <c r="E697" s="2"/>
      <c r="F697" s="16">
        <f>F698</f>
        <v>96690</v>
      </c>
    </row>
    <row r="698" spans="1:6" ht="30" x14ac:dyDescent="0.2">
      <c r="A698" s="1" t="s">
        <v>88</v>
      </c>
      <c r="B698" s="2" t="s">
        <v>19</v>
      </c>
      <c r="C698" s="2" t="s">
        <v>28</v>
      </c>
      <c r="D698" s="2" t="s">
        <v>208</v>
      </c>
      <c r="E698" s="2" t="s">
        <v>85</v>
      </c>
      <c r="F698" s="16">
        <v>96690</v>
      </c>
    </row>
    <row r="699" spans="1:6" ht="30" x14ac:dyDescent="0.2">
      <c r="A699" s="1" t="s">
        <v>580</v>
      </c>
      <c r="B699" s="2" t="s">
        <v>19</v>
      </c>
      <c r="C699" s="2" t="s">
        <v>28</v>
      </c>
      <c r="D699" s="2" t="s">
        <v>553</v>
      </c>
      <c r="E699" s="2"/>
      <c r="F699" s="16">
        <f>F700</f>
        <v>5000</v>
      </c>
    </row>
    <row r="700" spans="1:6" ht="45" x14ac:dyDescent="0.2">
      <c r="A700" s="1" t="s">
        <v>572</v>
      </c>
      <c r="B700" s="2" t="s">
        <v>19</v>
      </c>
      <c r="C700" s="2" t="s">
        <v>28</v>
      </c>
      <c r="D700" s="2" t="s">
        <v>554</v>
      </c>
      <c r="E700" s="2"/>
      <c r="F700" s="16">
        <f>F701</f>
        <v>5000</v>
      </c>
    </row>
    <row r="701" spans="1:6" ht="30" x14ac:dyDescent="0.2">
      <c r="A701" s="1" t="s">
        <v>88</v>
      </c>
      <c r="B701" s="2" t="s">
        <v>19</v>
      </c>
      <c r="C701" s="2" t="s">
        <v>28</v>
      </c>
      <c r="D701" s="2" t="s">
        <v>554</v>
      </c>
      <c r="E701" s="2" t="s">
        <v>85</v>
      </c>
      <c r="F701" s="16">
        <v>5000</v>
      </c>
    </row>
    <row r="702" spans="1:6" ht="35.25" customHeight="1" x14ac:dyDescent="0.2">
      <c r="A702" s="1" t="s">
        <v>581</v>
      </c>
      <c r="B702" s="2" t="s">
        <v>19</v>
      </c>
      <c r="C702" s="2" t="s">
        <v>28</v>
      </c>
      <c r="D702" s="2" t="s">
        <v>555</v>
      </c>
      <c r="E702" s="2"/>
      <c r="F702" s="16">
        <f>F703</f>
        <v>11279.7</v>
      </c>
    </row>
    <row r="703" spans="1:6" ht="45" x14ac:dyDescent="0.2">
      <c r="A703" s="1" t="s">
        <v>576</v>
      </c>
      <c r="B703" s="2" t="s">
        <v>19</v>
      </c>
      <c r="C703" s="2" t="s">
        <v>28</v>
      </c>
      <c r="D703" s="2" t="s">
        <v>556</v>
      </c>
      <c r="E703" s="2"/>
      <c r="F703" s="16">
        <f>F704</f>
        <v>11279.7</v>
      </c>
    </row>
    <row r="704" spans="1:6" ht="30" x14ac:dyDescent="0.2">
      <c r="A704" s="1" t="s">
        <v>88</v>
      </c>
      <c r="B704" s="2" t="s">
        <v>19</v>
      </c>
      <c r="C704" s="2" t="s">
        <v>28</v>
      </c>
      <c r="D704" s="2" t="s">
        <v>556</v>
      </c>
      <c r="E704" s="2" t="s">
        <v>85</v>
      </c>
      <c r="F704" s="16">
        <v>11279.7</v>
      </c>
    </row>
    <row r="705" spans="1:6" ht="30" x14ac:dyDescent="0.2">
      <c r="A705" s="1" t="s">
        <v>573</v>
      </c>
      <c r="B705" s="2" t="s">
        <v>19</v>
      </c>
      <c r="C705" s="2" t="s">
        <v>28</v>
      </c>
      <c r="D705" s="2" t="s">
        <v>557</v>
      </c>
      <c r="E705" s="2"/>
      <c r="F705" s="16">
        <f>F706</f>
        <v>20000</v>
      </c>
    </row>
    <row r="706" spans="1:6" ht="33" customHeight="1" x14ac:dyDescent="0.2">
      <c r="A706" s="1" t="s">
        <v>582</v>
      </c>
      <c r="B706" s="2" t="s">
        <v>19</v>
      </c>
      <c r="C706" s="2" t="s">
        <v>28</v>
      </c>
      <c r="D706" s="2" t="s">
        <v>578</v>
      </c>
      <c r="E706" s="2"/>
      <c r="F706" s="16">
        <f>F707</f>
        <v>20000</v>
      </c>
    </row>
    <row r="707" spans="1:6" ht="30" x14ac:dyDescent="0.2">
      <c r="A707" s="1" t="s">
        <v>577</v>
      </c>
      <c r="B707" s="2" t="s">
        <v>19</v>
      </c>
      <c r="C707" s="2" t="s">
        <v>28</v>
      </c>
      <c r="D707" s="2" t="s">
        <v>579</v>
      </c>
      <c r="E707" s="2"/>
      <c r="F707" s="16">
        <f>F708</f>
        <v>20000</v>
      </c>
    </row>
    <row r="708" spans="1:6" ht="30" x14ac:dyDescent="0.2">
      <c r="A708" s="1" t="s">
        <v>88</v>
      </c>
      <c r="B708" s="2" t="s">
        <v>19</v>
      </c>
      <c r="C708" s="2" t="s">
        <v>28</v>
      </c>
      <c r="D708" s="2" t="s">
        <v>579</v>
      </c>
      <c r="E708" s="2" t="s">
        <v>85</v>
      </c>
      <c r="F708" s="16">
        <v>20000</v>
      </c>
    </row>
    <row r="709" spans="1:6" ht="45" x14ac:dyDescent="0.2">
      <c r="A709" s="1" t="s">
        <v>676</v>
      </c>
      <c r="B709" s="2" t="s">
        <v>19</v>
      </c>
      <c r="C709" s="2" t="s">
        <v>28</v>
      </c>
      <c r="D709" s="2" t="s">
        <v>674</v>
      </c>
      <c r="E709" s="2"/>
      <c r="F709" s="16">
        <f>F710</f>
        <v>10175</v>
      </c>
    </row>
    <row r="710" spans="1:6" ht="30" x14ac:dyDescent="0.2">
      <c r="A710" s="1" t="s">
        <v>718</v>
      </c>
      <c r="B710" s="2" t="s">
        <v>19</v>
      </c>
      <c r="C710" s="2" t="s">
        <v>28</v>
      </c>
      <c r="D710" s="2" t="s">
        <v>715</v>
      </c>
      <c r="E710" s="2"/>
      <c r="F710" s="16">
        <f>F711</f>
        <v>10175</v>
      </c>
    </row>
    <row r="711" spans="1:6" ht="30" x14ac:dyDescent="0.2">
      <c r="A711" s="1" t="s">
        <v>719</v>
      </c>
      <c r="B711" s="2" t="s">
        <v>19</v>
      </c>
      <c r="C711" s="2" t="s">
        <v>28</v>
      </c>
      <c r="D711" s="2" t="s">
        <v>716</v>
      </c>
      <c r="E711" s="2"/>
      <c r="F711" s="16">
        <f>F712</f>
        <v>10175</v>
      </c>
    </row>
    <row r="712" spans="1:6" x14ac:dyDescent="0.2">
      <c r="A712" s="1" t="s">
        <v>720</v>
      </c>
      <c r="B712" s="2" t="s">
        <v>19</v>
      </c>
      <c r="C712" s="2" t="s">
        <v>28</v>
      </c>
      <c r="D712" s="2" t="s">
        <v>717</v>
      </c>
      <c r="E712" s="2"/>
      <c r="F712" s="16">
        <f>F713</f>
        <v>10175</v>
      </c>
    </row>
    <row r="713" spans="1:6" ht="30" x14ac:dyDescent="0.2">
      <c r="A713" s="1" t="s">
        <v>88</v>
      </c>
      <c r="B713" s="2" t="s">
        <v>19</v>
      </c>
      <c r="C713" s="2" t="s">
        <v>28</v>
      </c>
      <c r="D713" s="2" t="s">
        <v>717</v>
      </c>
      <c r="E713" s="2" t="s">
        <v>85</v>
      </c>
      <c r="F713" s="16">
        <f>3261.2+6913.8</f>
        <v>10175</v>
      </c>
    </row>
    <row r="714" spans="1:6" x14ac:dyDescent="0.2">
      <c r="A714" s="26" t="s">
        <v>95</v>
      </c>
      <c r="B714" s="2" t="s">
        <v>19</v>
      </c>
      <c r="C714" s="2" t="s">
        <v>28</v>
      </c>
      <c r="D714" s="2" t="s">
        <v>102</v>
      </c>
      <c r="E714" s="2"/>
      <c r="F714" s="16">
        <f>F715+F718+F720</f>
        <v>870481.79999999993</v>
      </c>
    </row>
    <row r="715" spans="1:6" ht="30" x14ac:dyDescent="0.2">
      <c r="A715" s="26" t="s">
        <v>575</v>
      </c>
      <c r="B715" s="2" t="s">
        <v>19</v>
      </c>
      <c r="C715" s="2" t="s">
        <v>28</v>
      </c>
      <c r="D715" s="2" t="s">
        <v>558</v>
      </c>
      <c r="E715" s="2"/>
      <c r="F715" s="16">
        <f>F717+F716</f>
        <v>800053.29999999993</v>
      </c>
    </row>
    <row r="716" spans="1:6" ht="60" x14ac:dyDescent="0.2">
      <c r="A716" s="45" t="s">
        <v>84</v>
      </c>
      <c r="B716" s="2" t="s">
        <v>19</v>
      </c>
      <c r="C716" s="2" t="s">
        <v>28</v>
      </c>
      <c r="D716" s="2" t="s">
        <v>558</v>
      </c>
      <c r="E716" s="2" t="s">
        <v>80</v>
      </c>
      <c r="F716" s="16">
        <v>29079.9</v>
      </c>
    </row>
    <row r="717" spans="1:6" ht="30" x14ac:dyDescent="0.2">
      <c r="A717" s="1" t="s">
        <v>88</v>
      </c>
      <c r="B717" s="2" t="s">
        <v>19</v>
      </c>
      <c r="C717" s="2" t="s">
        <v>28</v>
      </c>
      <c r="D717" s="2" t="s">
        <v>558</v>
      </c>
      <c r="E717" s="2" t="s">
        <v>85</v>
      </c>
      <c r="F717" s="16">
        <f>715491.7+55481.7</f>
        <v>770973.39999999991</v>
      </c>
    </row>
    <row r="718" spans="1:6" x14ac:dyDescent="0.2">
      <c r="A718" s="1" t="s">
        <v>400</v>
      </c>
      <c r="B718" s="2" t="s">
        <v>19</v>
      </c>
      <c r="C718" s="2" t="s">
        <v>28</v>
      </c>
      <c r="D718" s="2" t="s">
        <v>209</v>
      </c>
      <c r="E718" s="2"/>
      <c r="F718" s="16">
        <f>F719</f>
        <v>37247.599999999999</v>
      </c>
    </row>
    <row r="719" spans="1:6" ht="30" x14ac:dyDescent="0.2">
      <c r="A719" s="1" t="s">
        <v>88</v>
      </c>
      <c r="B719" s="2" t="s">
        <v>19</v>
      </c>
      <c r="C719" s="2" t="s">
        <v>28</v>
      </c>
      <c r="D719" s="2" t="s">
        <v>209</v>
      </c>
      <c r="E719" s="2" t="s">
        <v>85</v>
      </c>
      <c r="F719" s="16">
        <f>41845.9-4598.3</f>
        <v>37247.599999999999</v>
      </c>
    </row>
    <row r="720" spans="1:6" ht="30" x14ac:dyDescent="0.2">
      <c r="A720" s="1" t="s">
        <v>275</v>
      </c>
      <c r="B720" s="2" t="s">
        <v>19</v>
      </c>
      <c r="C720" s="2" t="s">
        <v>28</v>
      </c>
      <c r="D720" s="2" t="s">
        <v>210</v>
      </c>
      <c r="E720" s="2"/>
      <c r="F720" s="16">
        <f>F721</f>
        <v>33180.899999999994</v>
      </c>
    </row>
    <row r="721" spans="1:6" ht="30" x14ac:dyDescent="0.2">
      <c r="A721" s="1" t="s">
        <v>88</v>
      </c>
      <c r="B721" s="2" t="s">
        <v>19</v>
      </c>
      <c r="C721" s="2" t="s">
        <v>28</v>
      </c>
      <c r="D721" s="2" t="s">
        <v>210</v>
      </c>
      <c r="E721" s="2" t="s">
        <v>85</v>
      </c>
      <c r="F721" s="16">
        <f>32420.7+741.5+18.7</f>
        <v>33180.899999999994</v>
      </c>
    </row>
    <row r="722" spans="1:6" ht="30" x14ac:dyDescent="0.2">
      <c r="A722" s="45" t="s">
        <v>263</v>
      </c>
      <c r="B722" s="2" t="s">
        <v>19</v>
      </c>
      <c r="C722" s="2" t="s">
        <v>28</v>
      </c>
      <c r="D722" s="2" t="s">
        <v>211</v>
      </c>
      <c r="E722" s="2"/>
      <c r="F722" s="16">
        <f>F723+F726+F729</f>
        <v>2180</v>
      </c>
    </row>
    <row r="723" spans="1:6" ht="45" x14ac:dyDescent="0.2">
      <c r="A723" s="1" t="s">
        <v>433</v>
      </c>
      <c r="B723" s="2" t="s">
        <v>19</v>
      </c>
      <c r="C723" s="2" t="s">
        <v>28</v>
      </c>
      <c r="D723" s="2" t="s">
        <v>434</v>
      </c>
      <c r="E723" s="2"/>
      <c r="F723" s="16">
        <f>F724</f>
        <v>240</v>
      </c>
    </row>
    <row r="724" spans="1:6" x14ac:dyDescent="0.2">
      <c r="A724" s="1" t="s">
        <v>435</v>
      </c>
      <c r="B724" s="2" t="s">
        <v>19</v>
      </c>
      <c r="C724" s="2" t="s">
        <v>28</v>
      </c>
      <c r="D724" s="2" t="s">
        <v>436</v>
      </c>
      <c r="E724" s="2"/>
      <c r="F724" s="16">
        <f>F725</f>
        <v>240</v>
      </c>
    </row>
    <row r="725" spans="1:6" ht="30" x14ac:dyDescent="0.2">
      <c r="A725" s="45" t="s">
        <v>83</v>
      </c>
      <c r="B725" s="2" t="s">
        <v>19</v>
      </c>
      <c r="C725" s="2" t="s">
        <v>28</v>
      </c>
      <c r="D725" s="2" t="s">
        <v>436</v>
      </c>
      <c r="E725" s="2" t="s">
        <v>81</v>
      </c>
      <c r="F725" s="16">
        <v>240</v>
      </c>
    </row>
    <row r="726" spans="1:6" ht="32.25" customHeight="1" x14ac:dyDescent="0.2">
      <c r="A726" s="45" t="s">
        <v>437</v>
      </c>
      <c r="B726" s="2" t="s">
        <v>19</v>
      </c>
      <c r="C726" s="2" t="s">
        <v>28</v>
      </c>
      <c r="D726" s="2" t="s">
        <v>438</v>
      </c>
      <c r="E726" s="2"/>
      <c r="F726" s="16">
        <f>F727</f>
        <v>650</v>
      </c>
    </row>
    <row r="727" spans="1:6" x14ac:dyDescent="0.2">
      <c r="A727" s="1" t="s">
        <v>435</v>
      </c>
      <c r="B727" s="2" t="s">
        <v>19</v>
      </c>
      <c r="C727" s="2" t="s">
        <v>28</v>
      </c>
      <c r="D727" s="2" t="s">
        <v>439</v>
      </c>
      <c r="E727" s="2"/>
      <c r="F727" s="16">
        <f>F728</f>
        <v>650</v>
      </c>
    </row>
    <row r="728" spans="1:6" ht="33" customHeight="1" x14ac:dyDescent="0.2">
      <c r="A728" s="45" t="s">
        <v>83</v>
      </c>
      <c r="B728" s="2" t="s">
        <v>19</v>
      </c>
      <c r="C728" s="2" t="s">
        <v>28</v>
      </c>
      <c r="D728" s="2" t="s">
        <v>439</v>
      </c>
      <c r="E728" s="2" t="s">
        <v>81</v>
      </c>
      <c r="F728" s="16">
        <v>650</v>
      </c>
    </row>
    <row r="729" spans="1:6" ht="45" x14ac:dyDescent="0.2">
      <c r="A729" s="45" t="s">
        <v>440</v>
      </c>
      <c r="B729" s="2" t="s">
        <v>19</v>
      </c>
      <c r="C729" s="2" t="s">
        <v>28</v>
      </c>
      <c r="D729" s="2" t="s">
        <v>441</v>
      </c>
      <c r="E729" s="2"/>
      <c r="F729" s="16">
        <f>F730</f>
        <v>1290</v>
      </c>
    </row>
    <row r="730" spans="1:6" x14ac:dyDescent="0.2">
      <c r="A730" s="1" t="s">
        <v>435</v>
      </c>
      <c r="B730" s="2" t="s">
        <v>19</v>
      </c>
      <c r="C730" s="2" t="s">
        <v>28</v>
      </c>
      <c r="D730" s="2" t="s">
        <v>442</v>
      </c>
      <c r="E730" s="2"/>
      <c r="F730" s="16">
        <f>F731+F732</f>
        <v>1290</v>
      </c>
    </row>
    <row r="731" spans="1:6" ht="30" x14ac:dyDescent="0.2">
      <c r="A731" s="45" t="s">
        <v>83</v>
      </c>
      <c r="B731" s="2" t="s">
        <v>19</v>
      </c>
      <c r="C731" s="2" t="s">
        <v>28</v>
      </c>
      <c r="D731" s="2" t="s">
        <v>442</v>
      </c>
      <c r="E731" s="2" t="s">
        <v>81</v>
      </c>
      <c r="F731" s="16">
        <v>450</v>
      </c>
    </row>
    <row r="732" spans="1:6" ht="30" x14ac:dyDescent="0.2">
      <c r="A732" s="1" t="s">
        <v>88</v>
      </c>
      <c r="B732" s="2" t="s">
        <v>19</v>
      </c>
      <c r="C732" s="2" t="s">
        <v>28</v>
      </c>
      <c r="D732" s="2" t="s">
        <v>442</v>
      </c>
      <c r="E732" s="2" t="s">
        <v>85</v>
      </c>
      <c r="F732" s="16">
        <v>840</v>
      </c>
    </row>
    <row r="733" spans="1:6" ht="30" x14ac:dyDescent="0.2">
      <c r="A733" s="45" t="s">
        <v>452</v>
      </c>
      <c r="B733" s="2" t="s">
        <v>19</v>
      </c>
      <c r="C733" s="2" t="s">
        <v>28</v>
      </c>
      <c r="D733" s="2" t="s">
        <v>448</v>
      </c>
      <c r="E733" s="2"/>
      <c r="F733" s="16">
        <f>F734+F739</f>
        <v>138918.29999999999</v>
      </c>
    </row>
    <row r="734" spans="1:6" ht="30" x14ac:dyDescent="0.2">
      <c r="A734" s="28" t="s">
        <v>564</v>
      </c>
      <c r="B734" s="2" t="s">
        <v>19</v>
      </c>
      <c r="C734" s="2" t="s">
        <v>28</v>
      </c>
      <c r="D734" s="2" t="s">
        <v>543</v>
      </c>
      <c r="E734" s="2"/>
      <c r="F734" s="16">
        <f>F735+F737</f>
        <v>138315.29999999999</v>
      </c>
    </row>
    <row r="735" spans="1:6" ht="30" x14ac:dyDescent="0.2">
      <c r="A735" s="28" t="s">
        <v>565</v>
      </c>
      <c r="B735" s="2" t="s">
        <v>19</v>
      </c>
      <c r="C735" s="2" t="s">
        <v>28</v>
      </c>
      <c r="D735" s="2" t="s">
        <v>545</v>
      </c>
      <c r="E735" s="2"/>
      <c r="F735" s="16">
        <f>F736</f>
        <v>40777.599999999999</v>
      </c>
    </row>
    <row r="736" spans="1:6" ht="30" x14ac:dyDescent="0.2">
      <c r="A736" s="1" t="s">
        <v>88</v>
      </c>
      <c r="B736" s="2" t="s">
        <v>19</v>
      </c>
      <c r="C736" s="2" t="s">
        <v>28</v>
      </c>
      <c r="D736" s="2" t="s">
        <v>546</v>
      </c>
      <c r="E736" s="2" t="s">
        <v>85</v>
      </c>
      <c r="F736" s="16">
        <f>43325-2547.4</f>
        <v>40777.599999999999</v>
      </c>
    </row>
    <row r="737" spans="1:6" ht="30" x14ac:dyDescent="0.2">
      <c r="A737" s="28" t="s">
        <v>566</v>
      </c>
      <c r="B737" s="2" t="s">
        <v>19</v>
      </c>
      <c r="C737" s="2" t="s">
        <v>28</v>
      </c>
      <c r="D737" s="2" t="s">
        <v>544</v>
      </c>
      <c r="E737" s="2"/>
      <c r="F737" s="16">
        <f>F738</f>
        <v>97537.7</v>
      </c>
    </row>
    <row r="738" spans="1:6" ht="30" x14ac:dyDescent="0.2">
      <c r="A738" s="1" t="s">
        <v>88</v>
      </c>
      <c r="B738" s="2" t="s">
        <v>19</v>
      </c>
      <c r="C738" s="2" t="s">
        <v>28</v>
      </c>
      <c r="D738" s="2" t="s">
        <v>547</v>
      </c>
      <c r="E738" s="2" t="s">
        <v>85</v>
      </c>
      <c r="F738" s="16">
        <f>64987.7-1876.5+1523+32903.5</f>
        <v>97537.7</v>
      </c>
    </row>
    <row r="739" spans="1:6" ht="45" x14ac:dyDescent="0.2">
      <c r="A739" s="45" t="s">
        <v>453</v>
      </c>
      <c r="B739" s="2" t="s">
        <v>19</v>
      </c>
      <c r="C739" s="2" t="s">
        <v>28</v>
      </c>
      <c r="D739" s="2" t="s">
        <v>449</v>
      </c>
      <c r="E739" s="2"/>
      <c r="F739" s="16">
        <f>F740</f>
        <v>603</v>
      </c>
    </row>
    <row r="740" spans="1:6" ht="75" x14ac:dyDescent="0.2">
      <c r="A740" s="45" t="s">
        <v>497</v>
      </c>
      <c r="B740" s="2" t="s">
        <v>19</v>
      </c>
      <c r="C740" s="2" t="s">
        <v>28</v>
      </c>
      <c r="D740" s="2" t="s">
        <v>450</v>
      </c>
      <c r="E740" s="2"/>
      <c r="F740" s="16">
        <f>F741</f>
        <v>603</v>
      </c>
    </row>
    <row r="741" spans="1:6" ht="30" x14ac:dyDescent="0.2">
      <c r="A741" s="1" t="s">
        <v>574</v>
      </c>
      <c r="B741" s="2" t="s">
        <v>19</v>
      </c>
      <c r="C741" s="2" t="s">
        <v>28</v>
      </c>
      <c r="D741" s="2" t="s">
        <v>559</v>
      </c>
      <c r="E741" s="2"/>
      <c r="F741" s="16">
        <f>F742</f>
        <v>603</v>
      </c>
    </row>
    <row r="742" spans="1:6" ht="30" x14ac:dyDescent="0.2">
      <c r="A742" s="45" t="s">
        <v>83</v>
      </c>
      <c r="B742" s="2" t="s">
        <v>19</v>
      </c>
      <c r="C742" s="2" t="s">
        <v>28</v>
      </c>
      <c r="D742" s="2" t="s">
        <v>559</v>
      </c>
      <c r="E742" s="2" t="s">
        <v>81</v>
      </c>
      <c r="F742" s="16">
        <v>603</v>
      </c>
    </row>
    <row r="743" spans="1:6" ht="30" x14ac:dyDescent="0.2">
      <c r="A743" s="45" t="s">
        <v>490</v>
      </c>
      <c r="B743" s="2" t="s">
        <v>19</v>
      </c>
      <c r="C743" s="2" t="s">
        <v>28</v>
      </c>
      <c r="D743" s="2" t="s">
        <v>280</v>
      </c>
      <c r="E743" s="2"/>
      <c r="F743" s="16">
        <f>F744</f>
        <v>15788.6</v>
      </c>
    </row>
    <row r="744" spans="1:6" ht="30" x14ac:dyDescent="0.2">
      <c r="A744" s="26" t="s">
        <v>145</v>
      </c>
      <c r="B744" s="2" t="s">
        <v>19</v>
      </c>
      <c r="C744" s="2" t="s">
        <v>28</v>
      </c>
      <c r="D744" s="2" t="s">
        <v>281</v>
      </c>
      <c r="E744" s="2"/>
      <c r="F744" s="16">
        <f>F745</f>
        <v>15788.6</v>
      </c>
    </row>
    <row r="745" spans="1:6" ht="30" x14ac:dyDescent="0.2">
      <c r="A745" s="26" t="s">
        <v>216</v>
      </c>
      <c r="B745" s="2" t="s">
        <v>19</v>
      </c>
      <c r="C745" s="2" t="s">
        <v>28</v>
      </c>
      <c r="D745" s="2" t="s">
        <v>282</v>
      </c>
      <c r="E745" s="2"/>
      <c r="F745" s="16">
        <f>F746</f>
        <v>15788.6</v>
      </c>
    </row>
    <row r="746" spans="1:6" x14ac:dyDescent="0.2">
      <c r="A746" s="45" t="s">
        <v>217</v>
      </c>
      <c r="B746" s="2" t="s">
        <v>19</v>
      </c>
      <c r="C746" s="2" t="s">
        <v>28</v>
      </c>
      <c r="D746" s="2" t="s">
        <v>308</v>
      </c>
      <c r="E746" s="2"/>
      <c r="F746" s="16">
        <f>F747+F748</f>
        <v>15788.6</v>
      </c>
    </row>
    <row r="747" spans="1:6" ht="60" x14ac:dyDescent="0.2">
      <c r="A747" s="45" t="s">
        <v>84</v>
      </c>
      <c r="B747" s="2" t="s">
        <v>19</v>
      </c>
      <c r="C747" s="2" t="s">
        <v>28</v>
      </c>
      <c r="D747" s="2" t="s">
        <v>308</v>
      </c>
      <c r="E747" s="2" t="s">
        <v>80</v>
      </c>
      <c r="F747" s="16">
        <f>8690.6+1146.3+1750.8+2335.3</f>
        <v>13923</v>
      </c>
    </row>
    <row r="748" spans="1:6" ht="30" x14ac:dyDescent="0.2">
      <c r="A748" s="45" t="s">
        <v>83</v>
      </c>
      <c r="B748" s="2" t="s">
        <v>19</v>
      </c>
      <c r="C748" s="2" t="s">
        <v>28</v>
      </c>
      <c r="D748" s="2" t="s">
        <v>308</v>
      </c>
      <c r="E748" s="2" t="s">
        <v>81</v>
      </c>
      <c r="F748" s="16">
        <v>1865.6</v>
      </c>
    </row>
    <row r="749" spans="1:6" x14ac:dyDescent="0.2">
      <c r="A749" s="42"/>
      <c r="C749" s="2"/>
      <c r="D749" s="2"/>
      <c r="E749" s="2"/>
      <c r="F749" s="16"/>
    </row>
    <row r="750" spans="1:6" x14ac:dyDescent="0.2">
      <c r="A750" s="15" t="s">
        <v>53</v>
      </c>
      <c r="B750" s="13" t="s">
        <v>32</v>
      </c>
      <c r="C750" s="13"/>
      <c r="D750" s="13"/>
      <c r="E750" s="13"/>
      <c r="F750" s="14">
        <f>F751+F807</f>
        <v>899486.49999999988</v>
      </c>
    </row>
    <row r="751" spans="1:6" x14ac:dyDescent="0.2">
      <c r="A751" s="12" t="s">
        <v>41</v>
      </c>
      <c r="B751" s="13" t="s">
        <v>32</v>
      </c>
      <c r="C751" s="13" t="s">
        <v>7</v>
      </c>
      <c r="D751" s="13"/>
      <c r="E751" s="13"/>
      <c r="F751" s="18">
        <f>F752+F797</f>
        <v>875918.39999999991</v>
      </c>
    </row>
    <row r="752" spans="1:6" ht="30" x14ac:dyDescent="0.2">
      <c r="A752" s="45" t="s">
        <v>491</v>
      </c>
      <c r="B752" s="2" t="s">
        <v>32</v>
      </c>
      <c r="C752" s="2" t="s">
        <v>7</v>
      </c>
      <c r="D752" s="54" t="s">
        <v>137</v>
      </c>
      <c r="E752" s="2"/>
      <c r="F752" s="16">
        <f>F753+F757+F763+F770+F788+F794</f>
        <v>736751.2</v>
      </c>
    </row>
    <row r="753" spans="1:6" x14ac:dyDescent="0.2">
      <c r="A753" s="51" t="s">
        <v>233</v>
      </c>
      <c r="B753" s="2" t="s">
        <v>32</v>
      </c>
      <c r="C753" s="2" t="s">
        <v>7</v>
      </c>
      <c r="D753" s="54" t="s">
        <v>218</v>
      </c>
      <c r="E753" s="2"/>
      <c r="F753" s="16">
        <f>F754</f>
        <v>26417.4</v>
      </c>
    </row>
    <row r="754" spans="1:6" x14ac:dyDescent="0.2">
      <c r="A754" s="25" t="s">
        <v>234</v>
      </c>
      <c r="B754" s="2" t="s">
        <v>32</v>
      </c>
      <c r="C754" s="2" t="s">
        <v>7</v>
      </c>
      <c r="D754" s="54" t="s">
        <v>219</v>
      </c>
      <c r="E754" s="2"/>
      <c r="F754" s="16">
        <f>F755</f>
        <v>26417.4</v>
      </c>
    </row>
    <row r="755" spans="1:6" ht="30" x14ac:dyDescent="0.2">
      <c r="A755" s="1" t="s">
        <v>264</v>
      </c>
      <c r="B755" s="2" t="s">
        <v>32</v>
      </c>
      <c r="C755" s="2" t="s">
        <v>7</v>
      </c>
      <c r="D755" s="54" t="s">
        <v>220</v>
      </c>
      <c r="E755" s="2"/>
      <c r="F755" s="16">
        <f>F756</f>
        <v>26417.4</v>
      </c>
    </row>
    <row r="756" spans="1:6" ht="30" x14ac:dyDescent="0.2">
      <c r="A756" s="1" t="s">
        <v>88</v>
      </c>
      <c r="B756" s="2" t="s">
        <v>32</v>
      </c>
      <c r="C756" s="2" t="s">
        <v>7</v>
      </c>
      <c r="D756" s="54" t="s">
        <v>220</v>
      </c>
      <c r="E756" s="2" t="s">
        <v>85</v>
      </c>
      <c r="F756" s="16">
        <f>25071.5+223.7+1122.2</f>
        <v>26417.4</v>
      </c>
    </row>
    <row r="757" spans="1:6" x14ac:dyDescent="0.2">
      <c r="A757" s="25" t="s">
        <v>235</v>
      </c>
      <c r="B757" s="2" t="s">
        <v>32</v>
      </c>
      <c r="C757" s="2" t="s">
        <v>7</v>
      </c>
      <c r="D757" s="54" t="s">
        <v>221</v>
      </c>
      <c r="E757" s="2"/>
      <c r="F757" s="16">
        <f>F758</f>
        <v>135373.70000000001</v>
      </c>
    </row>
    <row r="758" spans="1:6" x14ac:dyDescent="0.2">
      <c r="A758" s="45" t="s">
        <v>236</v>
      </c>
      <c r="B758" s="2" t="s">
        <v>32</v>
      </c>
      <c r="C758" s="2" t="s">
        <v>7</v>
      </c>
      <c r="D758" s="54" t="s">
        <v>222</v>
      </c>
      <c r="E758" s="2"/>
      <c r="F758" s="16">
        <f>F760+F762</f>
        <v>135373.70000000001</v>
      </c>
    </row>
    <row r="759" spans="1:6" ht="30" x14ac:dyDescent="0.2">
      <c r="A759" s="1" t="s">
        <v>42</v>
      </c>
      <c r="B759" s="20" t="s">
        <v>32</v>
      </c>
      <c r="C759" s="20" t="s">
        <v>7</v>
      </c>
      <c r="D759" s="54" t="s">
        <v>224</v>
      </c>
      <c r="E759" s="20"/>
      <c r="F759" s="22">
        <f>F760</f>
        <v>2000</v>
      </c>
    </row>
    <row r="760" spans="1:6" ht="30" x14ac:dyDescent="0.2">
      <c r="A760" s="1" t="s">
        <v>88</v>
      </c>
      <c r="B760" s="20" t="s">
        <v>32</v>
      </c>
      <c r="C760" s="20" t="s">
        <v>7</v>
      </c>
      <c r="D760" s="54" t="s">
        <v>224</v>
      </c>
      <c r="E760" s="20" t="s">
        <v>85</v>
      </c>
      <c r="F760" s="22">
        <v>2000</v>
      </c>
    </row>
    <row r="761" spans="1:6" ht="30" x14ac:dyDescent="0.2">
      <c r="A761" s="1" t="s">
        <v>237</v>
      </c>
      <c r="B761" s="20" t="s">
        <v>32</v>
      </c>
      <c r="C761" s="20" t="s">
        <v>7</v>
      </c>
      <c r="D761" s="54" t="s">
        <v>223</v>
      </c>
      <c r="E761" s="20"/>
      <c r="F761" s="22">
        <f>F762</f>
        <v>133373.70000000001</v>
      </c>
    </row>
    <row r="762" spans="1:6" ht="30" x14ac:dyDescent="0.2">
      <c r="A762" s="1" t="s">
        <v>88</v>
      </c>
      <c r="B762" s="20" t="s">
        <v>32</v>
      </c>
      <c r="C762" s="20" t="s">
        <v>7</v>
      </c>
      <c r="D762" s="54" t="s">
        <v>223</v>
      </c>
      <c r="E762" s="20" t="s">
        <v>85</v>
      </c>
      <c r="F762" s="22">
        <f>129147-1229.2+50.4+5405.5</f>
        <v>133373.70000000001</v>
      </c>
    </row>
    <row r="763" spans="1:6" ht="30" x14ac:dyDescent="0.2">
      <c r="A763" s="1" t="s">
        <v>238</v>
      </c>
      <c r="B763" s="2" t="s">
        <v>32</v>
      </c>
      <c r="C763" s="2" t="s">
        <v>7</v>
      </c>
      <c r="D763" s="54" t="s">
        <v>225</v>
      </c>
      <c r="E763" s="2"/>
      <c r="F763" s="16">
        <f>F764+F767</f>
        <v>401121.5</v>
      </c>
    </row>
    <row r="764" spans="1:6" ht="21.75" customHeight="1" x14ac:dyDescent="0.2">
      <c r="A764" s="1" t="s">
        <v>239</v>
      </c>
      <c r="B764" s="2" t="s">
        <v>32</v>
      </c>
      <c r="C764" s="2" t="s">
        <v>7</v>
      </c>
      <c r="D764" s="54" t="s">
        <v>226</v>
      </c>
      <c r="E764" s="2"/>
      <c r="F764" s="16">
        <f>F765</f>
        <v>354398</v>
      </c>
    </row>
    <row r="765" spans="1:6" ht="30" x14ac:dyDescent="0.2">
      <c r="A765" s="1" t="s">
        <v>240</v>
      </c>
      <c r="B765" s="2" t="s">
        <v>32</v>
      </c>
      <c r="C765" s="2" t="s">
        <v>7</v>
      </c>
      <c r="D765" s="54" t="s">
        <v>227</v>
      </c>
      <c r="E765" s="2"/>
      <c r="F765" s="16">
        <f>F766</f>
        <v>354398</v>
      </c>
    </row>
    <row r="766" spans="1:6" ht="30" x14ac:dyDescent="0.2">
      <c r="A766" s="1" t="s">
        <v>88</v>
      </c>
      <c r="B766" s="2" t="s">
        <v>32</v>
      </c>
      <c r="C766" s="2" t="s">
        <v>7</v>
      </c>
      <c r="D766" s="54" t="s">
        <v>227</v>
      </c>
      <c r="E766" s="2" t="s">
        <v>85</v>
      </c>
      <c r="F766" s="16">
        <f>310453+24899.1-3662.1+2254.7+19019.1+1434.2</f>
        <v>354398</v>
      </c>
    </row>
    <row r="767" spans="1:6" x14ac:dyDescent="0.2">
      <c r="A767" s="1" t="s">
        <v>242</v>
      </c>
      <c r="B767" s="2" t="s">
        <v>32</v>
      </c>
      <c r="C767" s="2" t="s">
        <v>7</v>
      </c>
      <c r="D767" s="54" t="s">
        <v>241</v>
      </c>
      <c r="E767" s="2"/>
      <c r="F767" s="16">
        <f>F768</f>
        <v>46723.5</v>
      </c>
    </row>
    <row r="768" spans="1:6" ht="30" x14ac:dyDescent="0.2">
      <c r="A768" s="1" t="s">
        <v>243</v>
      </c>
      <c r="B768" s="2" t="s">
        <v>32</v>
      </c>
      <c r="C768" s="2" t="s">
        <v>7</v>
      </c>
      <c r="D768" s="54" t="s">
        <v>249</v>
      </c>
      <c r="E768" s="2"/>
      <c r="F768" s="16">
        <f>F769</f>
        <v>46723.5</v>
      </c>
    </row>
    <row r="769" spans="1:6" ht="30" x14ac:dyDescent="0.2">
      <c r="A769" s="1" t="s">
        <v>88</v>
      </c>
      <c r="B769" s="2" t="s">
        <v>32</v>
      </c>
      <c r="C769" s="2" t="s">
        <v>7</v>
      </c>
      <c r="D769" s="54" t="s">
        <v>249</v>
      </c>
      <c r="E769" s="2" t="s">
        <v>85</v>
      </c>
      <c r="F769" s="16">
        <f>41802-227.5+3611.7+1537.3</f>
        <v>46723.5</v>
      </c>
    </row>
    <row r="770" spans="1:6" x14ac:dyDescent="0.2">
      <c r="A770" s="1" t="s">
        <v>138</v>
      </c>
      <c r="B770" s="2" t="s">
        <v>32</v>
      </c>
      <c r="C770" s="2" t="s">
        <v>7</v>
      </c>
      <c r="D770" s="2" t="s">
        <v>139</v>
      </c>
      <c r="E770" s="2"/>
      <c r="F770" s="16">
        <f>F771+F774+F779+F782+F785</f>
        <v>13300.099999999999</v>
      </c>
    </row>
    <row r="771" spans="1:6" ht="45" x14ac:dyDescent="0.2">
      <c r="A771" s="42" t="s">
        <v>244</v>
      </c>
      <c r="B771" s="24" t="s">
        <v>32</v>
      </c>
      <c r="C771" s="24" t="s">
        <v>7</v>
      </c>
      <c r="D771" s="2" t="s">
        <v>184</v>
      </c>
      <c r="E771" s="24"/>
      <c r="F771" s="27">
        <f>F772</f>
        <v>1000</v>
      </c>
    </row>
    <row r="772" spans="1:6" ht="30" x14ac:dyDescent="0.2">
      <c r="A772" s="1" t="s">
        <v>245</v>
      </c>
      <c r="B772" s="24" t="s">
        <v>32</v>
      </c>
      <c r="C772" s="24" t="s">
        <v>7</v>
      </c>
      <c r="D772" s="2" t="s">
        <v>232</v>
      </c>
      <c r="E772" s="24"/>
      <c r="F772" s="27">
        <f>F773</f>
        <v>1000</v>
      </c>
    </row>
    <row r="773" spans="1:6" ht="30" x14ac:dyDescent="0.2">
      <c r="A773" s="1" t="s">
        <v>88</v>
      </c>
      <c r="B773" s="24" t="s">
        <v>32</v>
      </c>
      <c r="C773" s="24" t="s">
        <v>7</v>
      </c>
      <c r="D773" s="2" t="s">
        <v>232</v>
      </c>
      <c r="E773" s="24" t="s">
        <v>85</v>
      </c>
      <c r="F773" s="27">
        <v>1000</v>
      </c>
    </row>
    <row r="774" spans="1:6" ht="30" x14ac:dyDescent="0.2">
      <c r="A774" s="1" t="s">
        <v>246</v>
      </c>
      <c r="B774" s="24" t="s">
        <v>32</v>
      </c>
      <c r="C774" s="24" t="s">
        <v>7</v>
      </c>
      <c r="D774" s="2" t="s">
        <v>228</v>
      </c>
      <c r="E774" s="24"/>
      <c r="F774" s="27">
        <f>F775+F777</f>
        <v>8242.6</v>
      </c>
    </row>
    <row r="775" spans="1:6" x14ac:dyDescent="0.2">
      <c r="A775" s="1" t="s">
        <v>247</v>
      </c>
      <c r="B775" s="24" t="s">
        <v>32</v>
      </c>
      <c r="C775" s="24" t="s">
        <v>7</v>
      </c>
      <c r="D775" s="2" t="s">
        <v>229</v>
      </c>
      <c r="E775" s="24"/>
      <c r="F775" s="27">
        <f>F776</f>
        <v>8022.6</v>
      </c>
    </row>
    <row r="776" spans="1:6" ht="30" x14ac:dyDescent="0.2">
      <c r="A776" s="45" t="s">
        <v>83</v>
      </c>
      <c r="B776" s="24" t="s">
        <v>32</v>
      </c>
      <c r="C776" s="24" t="s">
        <v>7</v>
      </c>
      <c r="D776" s="2" t="s">
        <v>229</v>
      </c>
      <c r="E776" s="24" t="s">
        <v>81</v>
      </c>
      <c r="F776" s="27">
        <f>2185.5+20+3532.2+2284.9</f>
        <v>8022.6</v>
      </c>
    </row>
    <row r="777" spans="1:6" ht="30" x14ac:dyDescent="0.2">
      <c r="A777" s="45" t="s">
        <v>309</v>
      </c>
      <c r="B777" s="24" t="s">
        <v>32</v>
      </c>
      <c r="C777" s="24" t="s">
        <v>7</v>
      </c>
      <c r="D777" s="2" t="s">
        <v>310</v>
      </c>
      <c r="E777" s="24"/>
      <c r="F777" s="27">
        <f>F778</f>
        <v>220</v>
      </c>
    </row>
    <row r="778" spans="1:6" x14ac:dyDescent="0.2">
      <c r="A778" s="26" t="s">
        <v>91</v>
      </c>
      <c r="B778" s="24" t="s">
        <v>32</v>
      </c>
      <c r="C778" s="24" t="s">
        <v>7</v>
      </c>
      <c r="D778" s="2" t="s">
        <v>310</v>
      </c>
      <c r="E778" s="24" t="s">
        <v>90</v>
      </c>
      <c r="F778" s="27">
        <f>240-20</f>
        <v>220</v>
      </c>
    </row>
    <row r="779" spans="1:6" ht="30" x14ac:dyDescent="0.2">
      <c r="A779" s="1" t="s">
        <v>248</v>
      </c>
      <c r="B779" s="24" t="s">
        <v>32</v>
      </c>
      <c r="C779" s="24" t="s">
        <v>7</v>
      </c>
      <c r="D779" s="2" t="s">
        <v>230</v>
      </c>
      <c r="E779" s="24"/>
      <c r="F779" s="27">
        <f>F780</f>
        <v>3877.9</v>
      </c>
    </row>
    <row r="780" spans="1:6" ht="46.5" customHeight="1" x14ac:dyDescent="0.2">
      <c r="A780" s="1" t="s">
        <v>292</v>
      </c>
      <c r="B780" s="24" t="s">
        <v>32</v>
      </c>
      <c r="C780" s="24" t="s">
        <v>7</v>
      </c>
      <c r="D780" s="2" t="s">
        <v>231</v>
      </c>
      <c r="E780" s="24"/>
      <c r="F780" s="27">
        <f>F781</f>
        <v>3877.9</v>
      </c>
    </row>
    <row r="781" spans="1:6" ht="30" x14ac:dyDescent="0.2">
      <c r="A781" s="1" t="s">
        <v>88</v>
      </c>
      <c r="B781" s="24" t="s">
        <v>32</v>
      </c>
      <c r="C781" s="24" t="s">
        <v>7</v>
      </c>
      <c r="D781" s="2" t="s">
        <v>231</v>
      </c>
      <c r="E781" s="24" t="s">
        <v>85</v>
      </c>
      <c r="F781" s="27">
        <f>97+780.9+3000</f>
        <v>3877.9</v>
      </c>
    </row>
    <row r="782" spans="1:6" ht="30" x14ac:dyDescent="0.2">
      <c r="A782" s="1" t="s">
        <v>522</v>
      </c>
      <c r="B782" s="24" t="s">
        <v>32</v>
      </c>
      <c r="C782" s="24" t="s">
        <v>7</v>
      </c>
      <c r="D782" s="2" t="s">
        <v>518</v>
      </c>
      <c r="E782" s="24"/>
      <c r="F782" s="27">
        <f>F783</f>
        <v>10.8</v>
      </c>
    </row>
    <row r="783" spans="1:6" ht="45" x14ac:dyDescent="0.2">
      <c r="A783" s="1" t="s">
        <v>523</v>
      </c>
      <c r="B783" s="24" t="s">
        <v>32</v>
      </c>
      <c r="C783" s="24" t="s">
        <v>7</v>
      </c>
      <c r="D783" s="2" t="s">
        <v>519</v>
      </c>
      <c r="E783" s="24"/>
      <c r="F783" s="27">
        <f>F784</f>
        <v>10.8</v>
      </c>
    </row>
    <row r="784" spans="1:6" ht="30" x14ac:dyDescent="0.2">
      <c r="A784" s="1" t="s">
        <v>88</v>
      </c>
      <c r="B784" s="24" t="s">
        <v>32</v>
      </c>
      <c r="C784" s="24" t="s">
        <v>7</v>
      </c>
      <c r="D784" s="2" t="s">
        <v>519</v>
      </c>
      <c r="E784" s="24" t="s">
        <v>85</v>
      </c>
      <c r="F784" s="27">
        <v>10.8</v>
      </c>
    </row>
    <row r="785" spans="1:6" ht="33" customHeight="1" x14ac:dyDescent="0.2">
      <c r="A785" s="1" t="s">
        <v>524</v>
      </c>
      <c r="B785" s="24" t="s">
        <v>32</v>
      </c>
      <c r="C785" s="24" t="s">
        <v>7</v>
      </c>
      <c r="D785" s="2" t="s">
        <v>520</v>
      </c>
      <c r="E785" s="24"/>
      <c r="F785" s="27">
        <f>F786</f>
        <v>168.8</v>
      </c>
    </row>
    <row r="786" spans="1:6" ht="45" x14ac:dyDescent="0.2">
      <c r="A786" s="1" t="s">
        <v>525</v>
      </c>
      <c r="B786" s="24" t="s">
        <v>32</v>
      </c>
      <c r="C786" s="24" t="s">
        <v>7</v>
      </c>
      <c r="D786" s="2" t="s">
        <v>521</v>
      </c>
      <c r="E786" s="24"/>
      <c r="F786" s="27">
        <f>F787</f>
        <v>168.8</v>
      </c>
    </row>
    <row r="787" spans="1:6" ht="30" x14ac:dyDescent="0.2">
      <c r="A787" s="1" t="s">
        <v>88</v>
      </c>
      <c r="B787" s="24" t="s">
        <v>32</v>
      </c>
      <c r="C787" s="24" t="s">
        <v>7</v>
      </c>
      <c r="D787" s="2" t="s">
        <v>521</v>
      </c>
      <c r="E787" s="24" t="s">
        <v>85</v>
      </c>
      <c r="F787" s="27">
        <v>168.8</v>
      </c>
    </row>
    <row r="788" spans="1:6" ht="30" x14ac:dyDescent="0.2">
      <c r="A788" s="1" t="s">
        <v>727</v>
      </c>
      <c r="B788" s="24" t="s">
        <v>32</v>
      </c>
      <c r="C788" s="24" t="s">
        <v>7</v>
      </c>
      <c r="D788" s="2" t="s">
        <v>722</v>
      </c>
      <c r="E788" s="24"/>
      <c r="F788" s="27">
        <f>F789</f>
        <v>151928</v>
      </c>
    </row>
    <row r="789" spans="1:6" ht="60" x14ac:dyDescent="0.2">
      <c r="A789" s="1" t="s">
        <v>728</v>
      </c>
      <c r="B789" s="24" t="s">
        <v>32</v>
      </c>
      <c r="C789" s="24" t="s">
        <v>7</v>
      </c>
      <c r="D789" s="2" t="s">
        <v>723</v>
      </c>
      <c r="E789" s="24"/>
      <c r="F789" s="27">
        <f>F790</f>
        <v>151928</v>
      </c>
    </row>
    <row r="790" spans="1:6" x14ac:dyDescent="0.2">
      <c r="A790" s="1" t="s">
        <v>729</v>
      </c>
      <c r="B790" s="24" t="s">
        <v>32</v>
      </c>
      <c r="C790" s="24" t="s">
        <v>7</v>
      </c>
      <c r="D790" s="2" t="s">
        <v>724</v>
      </c>
      <c r="E790" s="24"/>
      <c r="F790" s="27">
        <f>F791+F792+F793</f>
        <v>151928</v>
      </c>
    </row>
    <row r="791" spans="1:6" ht="30" x14ac:dyDescent="0.2">
      <c r="A791" s="45" t="s">
        <v>83</v>
      </c>
      <c r="B791" s="24" t="s">
        <v>32</v>
      </c>
      <c r="C791" s="24" t="s">
        <v>7</v>
      </c>
      <c r="D791" s="2" t="s">
        <v>724</v>
      </c>
      <c r="E791" s="24" t="s">
        <v>81</v>
      </c>
      <c r="F791" s="27">
        <f>65604.3+42764</f>
        <v>108368.3</v>
      </c>
    </row>
    <row r="792" spans="1:6" ht="30" x14ac:dyDescent="0.2">
      <c r="A792" s="1" t="s">
        <v>88</v>
      </c>
      <c r="B792" s="24" t="s">
        <v>32</v>
      </c>
      <c r="C792" s="24" t="s">
        <v>7</v>
      </c>
      <c r="D792" s="2" t="s">
        <v>724</v>
      </c>
      <c r="E792" s="24" t="s">
        <v>85</v>
      </c>
      <c r="F792" s="27">
        <v>7278</v>
      </c>
    </row>
    <row r="793" spans="1:6" x14ac:dyDescent="0.2">
      <c r="A793" s="45" t="s">
        <v>86</v>
      </c>
      <c r="B793" s="24" t="s">
        <v>32</v>
      </c>
      <c r="C793" s="24" t="s">
        <v>7</v>
      </c>
      <c r="D793" s="2" t="s">
        <v>735</v>
      </c>
      <c r="E793" s="24" t="s">
        <v>82</v>
      </c>
      <c r="F793" s="27">
        <v>36281.699999999997</v>
      </c>
    </row>
    <row r="794" spans="1:6" ht="45" x14ac:dyDescent="0.2">
      <c r="A794" s="1" t="s">
        <v>730</v>
      </c>
      <c r="B794" s="24" t="s">
        <v>32</v>
      </c>
      <c r="C794" s="24" t="s">
        <v>7</v>
      </c>
      <c r="D794" s="2" t="s">
        <v>725</v>
      </c>
      <c r="E794" s="24"/>
      <c r="F794" s="27">
        <f>F795</f>
        <v>8610.5</v>
      </c>
    </row>
    <row r="795" spans="1:6" ht="45" x14ac:dyDescent="0.2">
      <c r="A795" s="1" t="s">
        <v>629</v>
      </c>
      <c r="B795" s="24" t="s">
        <v>32</v>
      </c>
      <c r="C795" s="24" t="s">
        <v>7</v>
      </c>
      <c r="D795" s="2" t="s">
        <v>726</v>
      </c>
      <c r="E795" s="24"/>
      <c r="F795" s="27">
        <f>F796</f>
        <v>8610.5</v>
      </c>
    </row>
    <row r="796" spans="1:6" ht="30" x14ac:dyDescent="0.2">
      <c r="A796" s="1" t="s">
        <v>615</v>
      </c>
      <c r="B796" s="24" t="s">
        <v>32</v>
      </c>
      <c r="C796" s="24" t="s">
        <v>7</v>
      </c>
      <c r="D796" s="2" t="s">
        <v>726</v>
      </c>
      <c r="E796" s="24" t="s">
        <v>616</v>
      </c>
      <c r="F796" s="27">
        <v>8610.5</v>
      </c>
    </row>
    <row r="797" spans="1:6" x14ac:dyDescent="0.2">
      <c r="A797" s="26" t="s">
        <v>95</v>
      </c>
      <c r="B797" s="24" t="s">
        <v>32</v>
      </c>
      <c r="C797" s="24" t="s">
        <v>7</v>
      </c>
      <c r="D797" s="24" t="s">
        <v>102</v>
      </c>
      <c r="E797" s="24"/>
      <c r="F797" s="27">
        <f>F798+F800+F802</f>
        <v>139167.20000000001</v>
      </c>
    </row>
    <row r="798" spans="1:6" x14ac:dyDescent="0.2">
      <c r="A798" s="1" t="s">
        <v>641</v>
      </c>
      <c r="B798" s="24" t="s">
        <v>32</v>
      </c>
      <c r="C798" s="24" t="s">
        <v>7</v>
      </c>
      <c r="D798" s="2" t="s">
        <v>640</v>
      </c>
      <c r="E798" s="24"/>
      <c r="F798" s="27">
        <f>F799</f>
        <v>46316.4</v>
      </c>
    </row>
    <row r="799" spans="1:6" ht="30" x14ac:dyDescent="0.2">
      <c r="A799" s="45" t="s">
        <v>83</v>
      </c>
      <c r="B799" s="24" t="s">
        <v>32</v>
      </c>
      <c r="C799" s="24" t="s">
        <v>7</v>
      </c>
      <c r="D799" s="2" t="s">
        <v>640</v>
      </c>
      <c r="E799" s="24" t="s">
        <v>81</v>
      </c>
      <c r="F799" s="27">
        <v>46316.4</v>
      </c>
    </row>
    <row r="800" spans="1:6" ht="45" x14ac:dyDescent="0.2">
      <c r="A800" s="45" t="s">
        <v>734</v>
      </c>
      <c r="B800" s="24" t="s">
        <v>32</v>
      </c>
      <c r="C800" s="24" t="s">
        <v>7</v>
      </c>
      <c r="D800" s="2" t="s">
        <v>662</v>
      </c>
      <c r="E800" s="24"/>
      <c r="F800" s="27">
        <f>F801</f>
        <v>43336.7</v>
      </c>
    </row>
    <row r="801" spans="1:6" ht="30" x14ac:dyDescent="0.2">
      <c r="A801" s="1" t="s">
        <v>88</v>
      </c>
      <c r="B801" s="24" t="s">
        <v>32</v>
      </c>
      <c r="C801" s="24" t="s">
        <v>7</v>
      </c>
      <c r="D801" s="2" t="s">
        <v>662</v>
      </c>
      <c r="E801" s="24" t="s">
        <v>85</v>
      </c>
      <c r="F801" s="27">
        <v>43336.7</v>
      </c>
    </row>
    <row r="802" spans="1:6" ht="30" x14ac:dyDescent="0.2">
      <c r="A802" s="45" t="s">
        <v>78</v>
      </c>
      <c r="B802" s="24" t="s">
        <v>32</v>
      </c>
      <c r="C802" s="24" t="s">
        <v>7</v>
      </c>
      <c r="D802" s="2" t="s">
        <v>113</v>
      </c>
      <c r="E802" s="24"/>
      <c r="F802" s="27">
        <f>F805+F803</f>
        <v>49514.100000000006</v>
      </c>
    </row>
    <row r="803" spans="1:6" ht="45" x14ac:dyDescent="0.2">
      <c r="A803" s="45" t="s">
        <v>672</v>
      </c>
      <c r="B803" s="24" t="s">
        <v>32</v>
      </c>
      <c r="C803" s="24" t="s">
        <v>7</v>
      </c>
      <c r="D803" s="2" t="s">
        <v>671</v>
      </c>
      <c r="E803" s="24"/>
      <c r="F803" s="27">
        <f>F804</f>
        <v>16177.2</v>
      </c>
    </row>
    <row r="804" spans="1:6" ht="30" x14ac:dyDescent="0.2">
      <c r="A804" s="45" t="s">
        <v>83</v>
      </c>
      <c r="B804" s="24" t="s">
        <v>32</v>
      </c>
      <c r="C804" s="24" t="s">
        <v>7</v>
      </c>
      <c r="D804" s="2" t="s">
        <v>671</v>
      </c>
      <c r="E804" s="24" t="s">
        <v>81</v>
      </c>
      <c r="F804" s="27">
        <v>16177.2</v>
      </c>
    </row>
    <row r="805" spans="1:6" ht="30" x14ac:dyDescent="0.2">
      <c r="A805" s="45" t="s">
        <v>721</v>
      </c>
      <c r="B805" s="24" t="s">
        <v>32</v>
      </c>
      <c r="C805" s="24" t="s">
        <v>7</v>
      </c>
      <c r="D805" s="2" t="s">
        <v>619</v>
      </c>
      <c r="E805" s="24"/>
      <c r="F805" s="27">
        <f>F806</f>
        <v>33336.9</v>
      </c>
    </row>
    <row r="806" spans="1:6" ht="30" x14ac:dyDescent="0.2">
      <c r="A806" s="45" t="s">
        <v>83</v>
      </c>
      <c r="B806" s="24" t="s">
        <v>32</v>
      </c>
      <c r="C806" s="24" t="s">
        <v>7</v>
      </c>
      <c r="D806" s="2" t="s">
        <v>619</v>
      </c>
      <c r="E806" s="24" t="s">
        <v>81</v>
      </c>
      <c r="F806" s="27">
        <f>32000+1336.9</f>
        <v>33336.9</v>
      </c>
    </row>
    <row r="807" spans="1:6" x14ac:dyDescent="0.2">
      <c r="A807" s="12" t="s">
        <v>49</v>
      </c>
      <c r="B807" s="19" t="s">
        <v>32</v>
      </c>
      <c r="C807" s="19" t="s">
        <v>15</v>
      </c>
      <c r="D807" s="13"/>
      <c r="E807" s="19"/>
      <c r="F807" s="21">
        <f>F808+F814</f>
        <v>23568.1</v>
      </c>
    </row>
    <row r="808" spans="1:6" ht="30" x14ac:dyDescent="0.2">
      <c r="A808" s="45" t="s">
        <v>491</v>
      </c>
      <c r="B808" s="20" t="s">
        <v>32</v>
      </c>
      <c r="C808" s="20" t="s">
        <v>15</v>
      </c>
      <c r="D808" s="2" t="s">
        <v>137</v>
      </c>
      <c r="E808" s="20"/>
      <c r="F808" s="22">
        <f>F809</f>
        <v>19940.8</v>
      </c>
    </row>
    <row r="809" spans="1:6" x14ac:dyDescent="0.2">
      <c r="A809" s="1" t="s">
        <v>138</v>
      </c>
      <c r="B809" s="20" t="s">
        <v>32</v>
      </c>
      <c r="C809" s="20" t="s">
        <v>15</v>
      </c>
      <c r="D809" s="2" t="s">
        <v>139</v>
      </c>
      <c r="E809" s="20"/>
      <c r="F809" s="22">
        <f>F810</f>
        <v>19940.8</v>
      </c>
    </row>
    <row r="810" spans="1:6" ht="30" x14ac:dyDescent="0.2">
      <c r="A810" s="45" t="s">
        <v>251</v>
      </c>
      <c r="B810" s="20" t="s">
        <v>32</v>
      </c>
      <c r="C810" s="20" t="s">
        <v>15</v>
      </c>
      <c r="D810" s="2" t="s">
        <v>140</v>
      </c>
      <c r="E810" s="2"/>
      <c r="F810" s="16">
        <f>F811</f>
        <v>19940.8</v>
      </c>
    </row>
    <row r="811" spans="1:6" x14ac:dyDescent="0.2">
      <c r="A811" s="45" t="s">
        <v>217</v>
      </c>
      <c r="B811" s="20" t="s">
        <v>32</v>
      </c>
      <c r="C811" s="20" t="s">
        <v>15</v>
      </c>
      <c r="D811" s="2" t="s">
        <v>250</v>
      </c>
      <c r="E811" s="2"/>
      <c r="F811" s="16">
        <f>F812+F813</f>
        <v>19940.8</v>
      </c>
    </row>
    <row r="812" spans="1:6" ht="60" x14ac:dyDescent="0.2">
      <c r="A812" s="45" t="s">
        <v>84</v>
      </c>
      <c r="B812" s="20" t="s">
        <v>32</v>
      </c>
      <c r="C812" s="20" t="s">
        <v>15</v>
      </c>
      <c r="D812" s="2" t="s">
        <v>250</v>
      </c>
      <c r="E812" s="2" t="s">
        <v>80</v>
      </c>
      <c r="F812" s="16">
        <f>11929.3+1515.8+2026+2599.8</f>
        <v>18070.899999999998</v>
      </c>
    </row>
    <row r="813" spans="1:6" ht="30" x14ac:dyDescent="0.2">
      <c r="A813" s="45" t="s">
        <v>83</v>
      </c>
      <c r="B813" s="20" t="s">
        <v>32</v>
      </c>
      <c r="C813" s="20" t="s">
        <v>15</v>
      </c>
      <c r="D813" s="2" t="s">
        <v>250</v>
      </c>
      <c r="E813" s="2" t="s">
        <v>81</v>
      </c>
      <c r="F813" s="16">
        <v>1869.9</v>
      </c>
    </row>
    <row r="814" spans="1:6" ht="30" x14ac:dyDescent="0.2">
      <c r="A814" s="45" t="s">
        <v>452</v>
      </c>
      <c r="B814" s="20" t="s">
        <v>32</v>
      </c>
      <c r="C814" s="20" t="s">
        <v>15</v>
      </c>
      <c r="D814" s="2" t="s">
        <v>448</v>
      </c>
      <c r="E814" s="2"/>
      <c r="F814" s="16">
        <f>F815</f>
        <v>3627.2999999999997</v>
      </c>
    </row>
    <row r="815" spans="1:6" ht="30" x14ac:dyDescent="0.2">
      <c r="A815" s="28" t="s">
        <v>564</v>
      </c>
      <c r="B815" s="20" t="s">
        <v>32</v>
      </c>
      <c r="C815" s="20" t="s">
        <v>15</v>
      </c>
      <c r="D815" s="2" t="s">
        <v>543</v>
      </c>
      <c r="E815" s="2"/>
      <c r="F815" s="16">
        <f>F816+F818</f>
        <v>3627.2999999999997</v>
      </c>
    </row>
    <row r="816" spans="1:6" ht="30" x14ac:dyDescent="0.2">
      <c r="A816" s="28" t="s">
        <v>565</v>
      </c>
      <c r="B816" s="20" t="s">
        <v>32</v>
      </c>
      <c r="C816" s="20" t="s">
        <v>15</v>
      </c>
      <c r="D816" s="2" t="s">
        <v>545</v>
      </c>
      <c r="E816" s="2"/>
      <c r="F816" s="16">
        <f>F817</f>
        <v>973.1</v>
      </c>
    </row>
    <row r="817" spans="1:6" ht="30" x14ac:dyDescent="0.2">
      <c r="A817" s="1" t="s">
        <v>88</v>
      </c>
      <c r="B817" s="20" t="s">
        <v>32</v>
      </c>
      <c r="C817" s="20" t="s">
        <v>15</v>
      </c>
      <c r="D817" s="2" t="s">
        <v>546</v>
      </c>
      <c r="E817" s="2" t="s">
        <v>85</v>
      </c>
      <c r="F817" s="16">
        <f>84.7+888.4</f>
        <v>973.1</v>
      </c>
    </row>
    <row r="818" spans="1:6" ht="30" x14ac:dyDescent="0.2">
      <c r="A818" s="28" t="s">
        <v>566</v>
      </c>
      <c r="B818" s="20" t="s">
        <v>32</v>
      </c>
      <c r="C818" s="20" t="s">
        <v>15</v>
      </c>
      <c r="D818" s="2" t="s">
        <v>544</v>
      </c>
      <c r="E818" s="2"/>
      <c r="F818" s="16">
        <f>F819</f>
        <v>2654.2</v>
      </c>
    </row>
    <row r="819" spans="1:6" ht="30" x14ac:dyDescent="0.2">
      <c r="A819" s="1" t="s">
        <v>88</v>
      </c>
      <c r="B819" s="20" t="s">
        <v>32</v>
      </c>
      <c r="C819" s="20" t="s">
        <v>15</v>
      </c>
      <c r="D819" s="2" t="s">
        <v>547</v>
      </c>
      <c r="E819" s="2" t="s">
        <v>85</v>
      </c>
      <c r="F819" s="16">
        <f>2033.3+135.9+485</f>
        <v>2654.2</v>
      </c>
    </row>
    <row r="820" spans="1:6" x14ac:dyDescent="0.2">
      <c r="A820" s="45"/>
      <c r="B820" s="20"/>
      <c r="C820" s="20"/>
      <c r="D820" s="2"/>
      <c r="E820" s="2"/>
      <c r="F820" s="16"/>
    </row>
    <row r="821" spans="1:6" x14ac:dyDescent="0.2">
      <c r="A821" s="12" t="s">
        <v>75</v>
      </c>
      <c r="B821" s="13" t="s">
        <v>28</v>
      </c>
      <c r="C821" s="13"/>
      <c r="D821" s="13"/>
      <c r="E821" s="13"/>
      <c r="F821" s="14">
        <f>F822</f>
        <v>27791</v>
      </c>
    </row>
    <row r="822" spans="1:6" x14ac:dyDescent="0.2">
      <c r="A822" s="53" t="s">
        <v>76</v>
      </c>
      <c r="B822" s="32" t="s">
        <v>28</v>
      </c>
      <c r="C822" s="32" t="s">
        <v>19</v>
      </c>
      <c r="D822" s="24"/>
      <c r="F822" s="33">
        <f>F823+F829</f>
        <v>27791</v>
      </c>
    </row>
    <row r="823" spans="1:6" ht="30" x14ac:dyDescent="0.2">
      <c r="A823" s="51" t="s">
        <v>99</v>
      </c>
      <c r="B823" s="24" t="s">
        <v>28</v>
      </c>
      <c r="C823" s="24" t="s">
        <v>19</v>
      </c>
      <c r="D823" s="54" t="s">
        <v>126</v>
      </c>
      <c r="F823" s="34">
        <f>F824</f>
        <v>19288.8</v>
      </c>
    </row>
    <row r="824" spans="1:6" ht="45" x14ac:dyDescent="0.2">
      <c r="A824" s="51" t="s">
        <v>100</v>
      </c>
      <c r="B824" s="24" t="s">
        <v>28</v>
      </c>
      <c r="C824" s="24" t="s">
        <v>19</v>
      </c>
      <c r="D824" s="54" t="s">
        <v>127</v>
      </c>
      <c r="F824" s="34">
        <f>F825</f>
        <v>19288.8</v>
      </c>
    </row>
    <row r="825" spans="1:6" ht="30" x14ac:dyDescent="0.2">
      <c r="A825" s="51" t="s">
        <v>254</v>
      </c>
      <c r="B825" s="24" t="s">
        <v>28</v>
      </c>
      <c r="C825" s="24" t="s">
        <v>19</v>
      </c>
      <c r="D825" s="54" t="s">
        <v>252</v>
      </c>
      <c r="F825" s="34">
        <f>F826</f>
        <v>19288.8</v>
      </c>
    </row>
    <row r="826" spans="1:6" ht="121.5" customHeight="1" x14ac:dyDescent="0.2">
      <c r="A826" s="26" t="s">
        <v>77</v>
      </c>
      <c r="B826" s="24" t="s">
        <v>28</v>
      </c>
      <c r="C826" s="24" t="s">
        <v>19</v>
      </c>
      <c r="D826" s="24" t="s">
        <v>253</v>
      </c>
      <c r="F826" s="34">
        <f>SUM(F827:F828)</f>
        <v>19288.8</v>
      </c>
    </row>
    <row r="827" spans="1:6" ht="30" x14ac:dyDescent="0.2">
      <c r="A827" s="45" t="s">
        <v>83</v>
      </c>
      <c r="B827" s="24" t="s">
        <v>28</v>
      </c>
      <c r="C827" s="24" t="s">
        <v>19</v>
      </c>
      <c r="D827" s="24" t="s">
        <v>253</v>
      </c>
      <c r="E827" s="4">
        <v>200</v>
      </c>
      <c r="F827" s="34">
        <v>1889.2</v>
      </c>
    </row>
    <row r="828" spans="1:6" ht="30" x14ac:dyDescent="0.2">
      <c r="A828" s="1" t="s">
        <v>88</v>
      </c>
      <c r="B828" s="24" t="s">
        <v>28</v>
      </c>
      <c r="C828" s="24" t="s">
        <v>19</v>
      </c>
      <c r="D828" s="24" t="s">
        <v>253</v>
      </c>
      <c r="E828" s="2" t="s">
        <v>85</v>
      </c>
      <c r="F828" s="34">
        <f>16419.3+980.3</f>
        <v>17399.599999999999</v>
      </c>
    </row>
    <row r="829" spans="1:6" x14ac:dyDescent="0.2">
      <c r="A829" s="26" t="s">
        <v>95</v>
      </c>
      <c r="B829" s="24" t="s">
        <v>28</v>
      </c>
      <c r="C829" s="24" t="s">
        <v>19</v>
      </c>
      <c r="D829" s="24" t="s">
        <v>102</v>
      </c>
      <c r="E829" s="2"/>
      <c r="F829" s="34">
        <f>F830</f>
        <v>8502.2000000000007</v>
      </c>
    </row>
    <row r="830" spans="1:6" ht="30" x14ac:dyDescent="0.2">
      <c r="A830" s="45" t="s">
        <v>78</v>
      </c>
      <c r="B830" s="24" t="s">
        <v>28</v>
      </c>
      <c r="C830" s="24" t="s">
        <v>19</v>
      </c>
      <c r="D830" s="24" t="s">
        <v>113</v>
      </c>
      <c r="E830" s="2"/>
      <c r="F830" s="34">
        <f>F831</f>
        <v>8502.2000000000007</v>
      </c>
    </row>
    <row r="831" spans="1:6" ht="45" x14ac:dyDescent="0.2">
      <c r="A831" s="1" t="s">
        <v>672</v>
      </c>
      <c r="B831" s="24" t="s">
        <v>28</v>
      </c>
      <c r="C831" s="24" t="s">
        <v>19</v>
      </c>
      <c r="D831" s="24" t="s">
        <v>671</v>
      </c>
      <c r="E831" s="2"/>
      <c r="F831" s="34">
        <f>F832</f>
        <v>8502.2000000000007</v>
      </c>
    </row>
    <row r="832" spans="1:6" ht="30" x14ac:dyDescent="0.2">
      <c r="A832" s="1" t="s">
        <v>88</v>
      </c>
      <c r="B832" s="24" t="s">
        <v>28</v>
      </c>
      <c r="C832" s="24" t="s">
        <v>19</v>
      </c>
      <c r="D832" s="24" t="s">
        <v>671</v>
      </c>
      <c r="E832" s="2" t="s">
        <v>85</v>
      </c>
      <c r="F832" s="34">
        <v>8502.2000000000007</v>
      </c>
    </row>
    <row r="833" spans="1:6" x14ac:dyDescent="0.2">
      <c r="A833" s="42"/>
      <c r="B833" s="24"/>
      <c r="C833" s="24"/>
      <c r="D833" s="24"/>
      <c r="E833" s="2"/>
      <c r="F833" s="34"/>
    </row>
    <row r="834" spans="1:6" s="17" customFormat="1" ht="14.25" x14ac:dyDescent="0.2">
      <c r="A834" s="15" t="s">
        <v>45</v>
      </c>
      <c r="B834" s="13" t="s">
        <v>44</v>
      </c>
      <c r="C834" s="13"/>
      <c r="D834" s="13"/>
      <c r="E834" s="13"/>
      <c r="F834" s="14">
        <f>F835+F839+F853</f>
        <v>1242846.3</v>
      </c>
    </row>
    <row r="835" spans="1:6" s="35" customFormat="1" ht="14.25" x14ac:dyDescent="0.2">
      <c r="A835" s="30" t="s">
        <v>55</v>
      </c>
      <c r="B835" s="32" t="s">
        <v>44</v>
      </c>
      <c r="C835" s="32" t="s">
        <v>7</v>
      </c>
      <c r="D835" s="32"/>
      <c r="E835" s="32"/>
      <c r="F835" s="33">
        <f>F836</f>
        <v>10692.3</v>
      </c>
    </row>
    <row r="836" spans="1:6" s="29" customFormat="1" x14ac:dyDescent="0.2">
      <c r="A836" s="26" t="s">
        <v>95</v>
      </c>
      <c r="B836" s="24" t="s">
        <v>44</v>
      </c>
      <c r="C836" s="24" t="s">
        <v>7</v>
      </c>
      <c r="D836" s="24" t="s">
        <v>102</v>
      </c>
      <c r="E836" s="24"/>
      <c r="F836" s="34">
        <f>F837</f>
        <v>10692.3</v>
      </c>
    </row>
    <row r="837" spans="1:6" s="29" customFormat="1" ht="30" x14ac:dyDescent="0.2">
      <c r="A837" s="42" t="s">
        <v>56</v>
      </c>
      <c r="B837" s="24" t="s">
        <v>44</v>
      </c>
      <c r="C837" s="24" t="s">
        <v>7</v>
      </c>
      <c r="D837" s="24" t="s">
        <v>255</v>
      </c>
      <c r="E837" s="24"/>
      <c r="F837" s="34">
        <f>F838</f>
        <v>10692.3</v>
      </c>
    </row>
    <row r="838" spans="1:6" s="29" customFormat="1" x14ac:dyDescent="0.2">
      <c r="A838" s="26" t="s">
        <v>91</v>
      </c>
      <c r="B838" s="24" t="s">
        <v>44</v>
      </c>
      <c r="C838" s="24" t="s">
        <v>7</v>
      </c>
      <c r="D838" s="24" t="s">
        <v>255</v>
      </c>
      <c r="E838" s="24" t="s">
        <v>90</v>
      </c>
      <c r="F838" s="34">
        <v>10692.3</v>
      </c>
    </row>
    <row r="839" spans="1:6" s="17" customFormat="1" ht="15" customHeight="1" x14ac:dyDescent="0.2">
      <c r="A839" s="15" t="s">
        <v>46</v>
      </c>
      <c r="B839" s="13" t="s">
        <v>44</v>
      </c>
      <c r="C839" s="13" t="s">
        <v>12</v>
      </c>
      <c r="D839" s="13"/>
      <c r="E839" s="13"/>
      <c r="F839" s="18">
        <f>F840+F845+F850</f>
        <v>966068.7</v>
      </c>
    </row>
    <row r="840" spans="1:6" s="17" customFormat="1" ht="30" x14ac:dyDescent="0.2">
      <c r="A840" s="51" t="s">
        <v>488</v>
      </c>
      <c r="B840" s="2" t="s">
        <v>44</v>
      </c>
      <c r="C840" s="2" t="s">
        <v>12</v>
      </c>
      <c r="D840" s="54" t="s">
        <v>130</v>
      </c>
      <c r="E840" s="24"/>
      <c r="F840" s="27">
        <f>F841</f>
        <v>284024.59999999998</v>
      </c>
    </row>
    <row r="841" spans="1:6" s="17" customFormat="1" ht="30" x14ac:dyDescent="0.2">
      <c r="A841" s="1" t="s">
        <v>573</v>
      </c>
      <c r="B841" s="2" t="s">
        <v>44</v>
      </c>
      <c r="C841" s="2" t="s">
        <v>12</v>
      </c>
      <c r="D841" s="2" t="s">
        <v>557</v>
      </c>
      <c r="E841" s="13"/>
      <c r="F841" s="27">
        <f>F842</f>
        <v>284024.59999999998</v>
      </c>
    </row>
    <row r="842" spans="1:6" s="17" customFormat="1" ht="30" x14ac:dyDescent="0.2">
      <c r="A842" s="26" t="s">
        <v>599</v>
      </c>
      <c r="B842" s="2" t="s">
        <v>44</v>
      </c>
      <c r="C842" s="2" t="s">
        <v>12</v>
      </c>
      <c r="D842" s="2" t="s">
        <v>598</v>
      </c>
      <c r="E842" s="13"/>
      <c r="F842" s="27">
        <f>F843</f>
        <v>284024.59999999998</v>
      </c>
    </row>
    <row r="843" spans="1:6" s="17" customFormat="1" ht="30" x14ac:dyDescent="0.2">
      <c r="A843" s="26" t="s">
        <v>256</v>
      </c>
      <c r="B843" s="2" t="s">
        <v>44</v>
      </c>
      <c r="C843" s="2" t="s">
        <v>12</v>
      </c>
      <c r="D843" s="2" t="s">
        <v>606</v>
      </c>
      <c r="E843" s="13"/>
      <c r="F843" s="27">
        <f>F844</f>
        <v>284024.59999999998</v>
      </c>
    </row>
    <row r="844" spans="1:6" s="17" customFormat="1" ht="15" customHeight="1" x14ac:dyDescent="0.2">
      <c r="A844" s="45" t="s">
        <v>86</v>
      </c>
      <c r="B844" s="2" t="s">
        <v>44</v>
      </c>
      <c r="C844" s="2" t="s">
        <v>12</v>
      </c>
      <c r="D844" s="2" t="s">
        <v>606</v>
      </c>
      <c r="E844" s="24" t="s">
        <v>82</v>
      </c>
      <c r="F844" s="27">
        <f>180217.2+48137.4+55670</f>
        <v>284024.59999999998</v>
      </c>
    </row>
    <row r="845" spans="1:6" s="17" customFormat="1" ht="30" x14ac:dyDescent="0.2">
      <c r="A845" s="51" t="s">
        <v>123</v>
      </c>
      <c r="B845" s="2" t="s">
        <v>44</v>
      </c>
      <c r="C845" s="2" t="s">
        <v>12</v>
      </c>
      <c r="D845" s="52" t="s">
        <v>124</v>
      </c>
      <c r="E845" s="2"/>
      <c r="F845" s="16">
        <f>F846</f>
        <v>676484.1</v>
      </c>
    </row>
    <row r="846" spans="1:6" s="17" customFormat="1" ht="31.5" customHeight="1" x14ac:dyDescent="0.2">
      <c r="A846" s="51" t="s">
        <v>97</v>
      </c>
      <c r="B846" s="2" t="s">
        <v>44</v>
      </c>
      <c r="C846" s="2" t="s">
        <v>12</v>
      </c>
      <c r="D846" s="52" t="s">
        <v>125</v>
      </c>
      <c r="E846" s="2"/>
      <c r="F846" s="16">
        <f>F847</f>
        <v>676484.1</v>
      </c>
    </row>
    <row r="847" spans="1:6" s="17" customFormat="1" ht="45" x14ac:dyDescent="0.2">
      <c r="A847" s="51" t="s">
        <v>349</v>
      </c>
      <c r="B847" s="2" t="s">
        <v>44</v>
      </c>
      <c r="C847" s="2" t="s">
        <v>12</v>
      </c>
      <c r="D847" s="52" t="s">
        <v>350</v>
      </c>
      <c r="E847" s="2"/>
      <c r="F847" s="16">
        <f>F848</f>
        <v>676484.1</v>
      </c>
    </row>
    <row r="848" spans="1:6" s="17" customFormat="1" x14ac:dyDescent="0.2">
      <c r="A848" s="51" t="s">
        <v>98</v>
      </c>
      <c r="B848" s="2" t="s">
        <v>44</v>
      </c>
      <c r="C848" s="2" t="s">
        <v>12</v>
      </c>
      <c r="D848" s="52" t="s">
        <v>351</v>
      </c>
      <c r="E848" s="2"/>
      <c r="F848" s="16">
        <f>F849</f>
        <v>676484.1</v>
      </c>
    </row>
    <row r="849" spans="1:6" s="17" customFormat="1" x14ac:dyDescent="0.2">
      <c r="A849" s="45" t="s">
        <v>86</v>
      </c>
      <c r="B849" s="2" t="s">
        <v>44</v>
      </c>
      <c r="C849" s="2" t="s">
        <v>12</v>
      </c>
      <c r="D849" s="52" t="s">
        <v>351</v>
      </c>
      <c r="E849" s="2" t="s">
        <v>82</v>
      </c>
      <c r="F849" s="16">
        <v>676484.1</v>
      </c>
    </row>
    <row r="850" spans="1:6" s="17" customFormat="1" x14ac:dyDescent="0.2">
      <c r="A850" s="26" t="s">
        <v>95</v>
      </c>
      <c r="B850" s="24" t="s">
        <v>44</v>
      </c>
      <c r="C850" s="24" t="s">
        <v>12</v>
      </c>
      <c r="D850" s="24" t="s">
        <v>102</v>
      </c>
      <c r="E850" s="2"/>
      <c r="F850" s="16">
        <f>F851</f>
        <v>5560</v>
      </c>
    </row>
    <row r="851" spans="1:6" s="17" customFormat="1" ht="31.5" customHeight="1" x14ac:dyDescent="0.2">
      <c r="A851" s="45" t="s">
        <v>256</v>
      </c>
      <c r="B851" s="2" t="s">
        <v>44</v>
      </c>
      <c r="C851" s="2" t="s">
        <v>12</v>
      </c>
      <c r="D851" s="52" t="s">
        <v>756</v>
      </c>
      <c r="E851" s="2"/>
      <c r="F851" s="16">
        <f>F852</f>
        <v>5560</v>
      </c>
    </row>
    <row r="852" spans="1:6" s="17" customFormat="1" x14ac:dyDescent="0.2">
      <c r="A852" s="45" t="s">
        <v>86</v>
      </c>
      <c r="B852" s="2" t="s">
        <v>44</v>
      </c>
      <c r="C852" s="2" t="s">
        <v>12</v>
      </c>
      <c r="D852" s="52" t="s">
        <v>756</v>
      </c>
      <c r="E852" s="2" t="s">
        <v>82</v>
      </c>
      <c r="F852" s="16">
        <v>5560</v>
      </c>
    </row>
    <row r="853" spans="1:6" s="17" customFormat="1" ht="14.25" x14ac:dyDescent="0.2">
      <c r="A853" s="30" t="s">
        <v>79</v>
      </c>
      <c r="B853" s="32" t="s">
        <v>44</v>
      </c>
      <c r="C853" s="32" t="s">
        <v>15</v>
      </c>
      <c r="D853" s="32"/>
      <c r="E853" s="32"/>
      <c r="F853" s="18">
        <f>F854</f>
        <v>266085.3</v>
      </c>
    </row>
    <row r="854" spans="1:6" s="17" customFormat="1" ht="30" x14ac:dyDescent="0.2">
      <c r="A854" s="51" t="s">
        <v>488</v>
      </c>
      <c r="B854" s="2" t="s">
        <v>44</v>
      </c>
      <c r="C854" s="2" t="s">
        <v>15</v>
      </c>
      <c r="D854" s="54" t="s">
        <v>130</v>
      </c>
      <c r="E854" s="32"/>
      <c r="F854" s="18">
        <f>F855</f>
        <v>266085.3</v>
      </c>
    </row>
    <row r="855" spans="1:6" s="17" customFormat="1" ht="16.5" customHeight="1" x14ac:dyDescent="0.2">
      <c r="A855" s="45" t="s">
        <v>135</v>
      </c>
      <c r="B855" s="24" t="s">
        <v>44</v>
      </c>
      <c r="C855" s="24" t="s">
        <v>15</v>
      </c>
      <c r="D855" s="54" t="s">
        <v>136</v>
      </c>
      <c r="E855" s="24"/>
      <c r="F855" s="27">
        <f>F856</f>
        <v>266085.3</v>
      </c>
    </row>
    <row r="856" spans="1:6" s="17" customFormat="1" ht="30" x14ac:dyDescent="0.2">
      <c r="A856" s="26" t="s">
        <v>605</v>
      </c>
      <c r="B856" s="24" t="s">
        <v>44</v>
      </c>
      <c r="C856" s="24" t="s">
        <v>15</v>
      </c>
      <c r="D856" s="54" t="s">
        <v>600</v>
      </c>
      <c r="E856" s="24"/>
      <c r="F856" s="27">
        <f>F857+F859+F861</f>
        <v>266085.3</v>
      </c>
    </row>
    <row r="857" spans="1:6" s="17" customFormat="1" ht="30" x14ac:dyDescent="0.2">
      <c r="A857" s="26" t="s">
        <v>603</v>
      </c>
      <c r="B857" s="24" t="s">
        <v>44</v>
      </c>
      <c r="C857" s="24" t="s">
        <v>15</v>
      </c>
      <c r="D857" s="24" t="s">
        <v>601</v>
      </c>
      <c r="E857" s="24"/>
      <c r="F857" s="27">
        <f>F858</f>
        <v>8478.4</v>
      </c>
    </row>
    <row r="858" spans="1:6" s="17" customFormat="1" x14ac:dyDescent="0.2">
      <c r="A858" s="26" t="s">
        <v>91</v>
      </c>
      <c r="B858" s="24" t="s">
        <v>44</v>
      </c>
      <c r="C858" s="24" t="s">
        <v>15</v>
      </c>
      <c r="D858" s="24" t="s">
        <v>601</v>
      </c>
      <c r="E858" s="24" t="s">
        <v>90</v>
      </c>
      <c r="F858" s="27">
        <f>7702+776.4</f>
        <v>8478.4</v>
      </c>
    </row>
    <row r="859" spans="1:6" s="17" customFormat="1" ht="30" x14ac:dyDescent="0.2">
      <c r="A859" s="26" t="s">
        <v>604</v>
      </c>
      <c r="B859" s="2" t="s">
        <v>44</v>
      </c>
      <c r="C859" s="2" t="s">
        <v>15</v>
      </c>
      <c r="D859" s="24" t="s">
        <v>602</v>
      </c>
      <c r="E859" s="24"/>
      <c r="F859" s="27">
        <f>F860</f>
        <v>225501.9</v>
      </c>
    </row>
    <row r="860" spans="1:6" s="17" customFormat="1" x14ac:dyDescent="0.2">
      <c r="A860" s="26" t="s">
        <v>91</v>
      </c>
      <c r="B860" s="2" t="s">
        <v>44</v>
      </c>
      <c r="C860" s="2" t="s">
        <v>15</v>
      </c>
      <c r="D860" s="24" t="s">
        <v>602</v>
      </c>
      <c r="E860" s="24" t="s">
        <v>90</v>
      </c>
      <c r="F860" s="27">
        <v>225501.9</v>
      </c>
    </row>
    <row r="861" spans="1:6" s="17" customFormat="1" ht="45" x14ac:dyDescent="0.2">
      <c r="A861" s="1" t="s">
        <v>631</v>
      </c>
      <c r="B861" s="2" t="s">
        <v>44</v>
      </c>
      <c r="C861" s="2" t="s">
        <v>15</v>
      </c>
      <c r="D861" s="24" t="s">
        <v>632</v>
      </c>
      <c r="E861" s="2"/>
      <c r="F861" s="16">
        <f>F862</f>
        <v>32105</v>
      </c>
    </row>
    <row r="862" spans="1:6" s="17" customFormat="1" x14ac:dyDescent="0.2">
      <c r="A862" s="25" t="s">
        <v>91</v>
      </c>
      <c r="B862" s="2" t="s">
        <v>44</v>
      </c>
      <c r="C862" s="2" t="s">
        <v>15</v>
      </c>
      <c r="D862" s="24" t="s">
        <v>632</v>
      </c>
      <c r="E862" s="2" t="s">
        <v>90</v>
      </c>
      <c r="F862" s="16">
        <v>32105</v>
      </c>
    </row>
    <row r="863" spans="1:6" s="17" customFormat="1" x14ac:dyDescent="0.2">
      <c r="A863" s="26"/>
      <c r="B863" s="2"/>
      <c r="C863" s="2"/>
      <c r="D863" s="24"/>
      <c r="E863" s="24"/>
      <c r="F863" s="27"/>
    </row>
    <row r="864" spans="1:6" s="17" customFormat="1" ht="14.25" x14ac:dyDescent="0.2">
      <c r="A864" s="12" t="s">
        <v>43</v>
      </c>
      <c r="B864" s="13" t="s">
        <v>21</v>
      </c>
      <c r="C864" s="13"/>
      <c r="D864" s="13"/>
      <c r="E864" s="13"/>
      <c r="F864" s="18">
        <f>F865+F896</f>
        <v>136249.79999999999</v>
      </c>
    </row>
    <row r="865" spans="1:6" s="17" customFormat="1" ht="14.25" x14ac:dyDescent="0.2">
      <c r="A865" s="12" t="s">
        <v>50</v>
      </c>
      <c r="B865" s="13" t="s">
        <v>21</v>
      </c>
      <c r="C865" s="13" t="s">
        <v>7</v>
      </c>
      <c r="D865" s="13"/>
      <c r="E865" s="13"/>
      <c r="F865" s="18">
        <f>F870+F876+F882+F866</f>
        <v>98181.999999999985</v>
      </c>
    </row>
    <row r="866" spans="1:6" s="29" customFormat="1" ht="45" x14ac:dyDescent="0.2">
      <c r="A866" s="28" t="s">
        <v>676</v>
      </c>
      <c r="B866" s="24" t="s">
        <v>21</v>
      </c>
      <c r="C866" s="24" t="s">
        <v>7</v>
      </c>
      <c r="D866" s="24" t="s">
        <v>674</v>
      </c>
      <c r="E866" s="24"/>
      <c r="F866" s="27">
        <f>F867</f>
        <v>10470.700000000001</v>
      </c>
    </row>
    <row r="867" spans="1:6" s="29" customFormat="1" ht="60" x14ac:dyDescent="0.2">
      <c r="A867" s="28" t="s">
        <v>733</v>
      </c>
      <c r="B867" s="24" t="s">
        <v>21</v>
      </c>
      <c r="C867" s="24" t="s">
        <v>7</v>
      </c>
      <c r="D867" s="24" t="s">
        <v>731</v>
      </c>
      <c r="E867" s="24"/>
      <c r="F867" s="27">
        <f>F868</f>
        <v>10470.700000000001</v>
      </c>
    </row>
    <row r="868" spans="1:6" s="29" customFormat="1" ht="45" x14ac:dyDescent="0.2">
      <c r="A868" s="28" t="s">
        <v>629</v>
      </c>
      <c r="B868" s="24" t="s">
        <v>21</v>
      </c>
      <c r="C868" s="24" t="s">
        <v>7</v>
      </c>
      <c r="D868" s="24" t="s">
        <v>732</v>
      </c>
      <c r="E868" s="24"/>
      <c r="F868" s="27">
        <f>F869</f>
        <v>10470.700000000001</v>
      </c>
    </row>
    <row r="869" spans="1:6" s="29" customFormat="1" ht="30" x14ac:dyDescent="0.2">
      <c r="A869" s="1" t="s">
        <v>615</v>
      </c>
      <c r="B869" s="24" t="s">
        <v>21</v>
      </c>
      <c r="C869" s="24" t="s">
        <v>7</v>
      </c>
      <c r="D869" s="24" t="s">
        <v>732</v>
      </c>
      <c r="E869" s="24" t="s">
        <v>616</v>
      </c>
      <c r="F869" s="27">
        <v>10470.700000000001</v>
      </c>
    </row>
    <row r="870" spans="1:6" s="17" customFormat="1" x14ac:dyDescent="0.2">
      <c r="A870" s="26" t="s">
        <v>95</v>
      </c>
      <c r="B870" s="24" t="s">
        <v>21</v>
      </c>
      <c r="C870" s="24" t="s">
        <v>7</v>
      </c>
      <c r="D870" s="54" t="s">
        <v>102</v>
      </c>
      <c r="E870" s="2"/>
      <c r="F870" s="27">
        <f>F871+F873</f>
        <v>6481.8</v>
      </c>
    </row>
    <row r="871" spans="1:6" s="17" customFormat="1" x14ac:dyDescent="0.2">
      <c r="A871" s="26" t="s">
        <v>614</v>
      </c>
      <c r="B871" s="24" t="s">
        <v>21</v>
      </c>
      <c r="C871" s="24" t="s">
        <v>7</v>
      </c>
      <c r="D871" s="54" t="s">
        <v>617</v>
      </c>
      <c r="E871" s="2"/>
      <c r="F871" s="27">
        <f>F872</f>
        <v>6000</v>
      </c>
    </row>
    <row r="872" spans="1:6" s="17" customFormat="1" ht="30" x14ac:dyDescent="0.2">
      <c r="A872" s="1" t="s">
        <v>615</v>
      </c>
      <c r="B872" s="24" t="s">
        <v>21</v>
      </c>
      <c r="C872" s="24" t="s">
        <v>7</v>
      </c>
      <c r="D872" s="54" t="s">
        <v>617</v>
      </c>
      <c r="E872" s="2" t="s">
        <v>616</v>
      </c>
      <c r="F872" s="27">
        <v>6000</v>
      </c>
    </row>
    <row r="873" spans="1:6" s="17" customFormat="1" ht="30" x14ac:dyDescent="0.2">
      <c r="A873" s="45" t="s">
        <v>78</v>
      </c>
      <c r="B873" s="24" t="s">
        <v>21</v>
      </c>
      <c r="C873" s="24" t="s">
        <v>7</v>
      </c>
      <c r="D873" s="54" t="s">
        <v>113</v>
      </c>
      <c r="E873" s="2"/>
      <c r="F873" s="27">
        <f>F874</f>
        <v>481.8</v>
      </c>
    </row>
    <row r="874" spans="1:6" s="17" customFormat="1" ht="45" x14ac:dyDescent="0.2">
      <c r="A874" s="1" t="s">
        <v>672</v>
      </c>
      <c r="B874" s="24" t="s">
        <v>21</v>
      </c>
      <c r="C874" s="24" t="s">
        <v>7</v>
      </c>
      <c r="D874" s="54" t="s">
        <v>671</v>
      </c>
      <c r="E874" s="2"/>
      <c r="F874" s="27">
        <f>F875</f>
        <v>481.8</v>
      </c>
    </row>
    <row r="875" spans="1:6" s="17" customFormat="1" ht="30" x14ac:dyDescent="0.2">
      <c r="A875" s="1" t="s">
        <v>88</v>
      </c>
      <c r="B875" s="24" t="s">
        <v>21</v>
      </c>
      <c r="C875" s="24" t="s">
        <v>7</v>
      </c>
      <c r="D875" s="54" t="s">
        <v>671</v>
      </c>
      <c r="E875" s="2" t="s">
        <v>85</v>
      </c>
      <c r="F875" s="27">
        <v>481.8</v>
      </c>
    </row>
    <row r="876" spans="1:6" s="29" customFormat="1" ht="30" x14ac:dyDescent="0.2">
      <c r="A876" s="45" t="s">
        <v>452</v>
      </c>
      <c r="B876" s="24" t="s">
        <v>21</v>
      </c>
      <c r="C876" s="24" t="s">
        <v>7</v>
      </c>
      <c r="D876" s="24" t="s">
        <v>448</v>
      </c>
      <c r="E876" s="24"/>
      <c r="F876" s="27">
        <f>F877</f>
        <v>723.59999999999991</v>
      </c>
    </row>
    <row r="877" spans="1:6" s="29" customFormat="1" ht="30" x14ac:dyDescent="0.2">
      <c r="A877" s="28" t="s">
        <v>564</v>
      </c>
      <c r="B877" s="24" t="s">
        <v>21</v>
      </c>
      <c r="C877" s="24" t="s">
        <v>7</v>
      </c>
      <c r="D877" s="24" t="s">
        <v>543</v>
      </c>
      <c r="E877" s="24"/>
      <c r="F877" s="27">
        <f>F878+F880</f>
        <v>723.59999999999991</v>
      </c>
    </row>
    <row r="878" spans="1:6" s="29" customFormat="1" ht="30" x14ac:dyDescent="0.2">
      <c r="A878" s="28" t="s">
        <v>565</v>
      </c>
      <c r="B878" s="24" t="s">
        <v>21</v>
      </c>
      <c r="C878" s="24" t="s">
        <v>7</v>
      </c>
      <c r="D878" s="24" t="s">
        <v>545</v>
      </c>
      <c r="E878" s="24"/>
      <c r="F878" s="27">
        <f>F879</f>
        <v>550.79999999999995</v>
      </c>
    </row>
    <row r="879" spans="1:6" s="29" customFormat="1" ht="30" x14ac:dyDescent="0.2">
      <c r="A879" s="1" t="s">
        <v>88</v>
      </c>
      <c r="B879" s="24" t="s">
        <v>21</v>
      </c>
      <c r="C879" s="24" t="s">
        <v>7</v>
      </c>
      <c r="D879" s="24" t="s">
        <v>546</v>
      </c>
      <c r="E879" s="24" t="s">
        <v>85</v>
      </c>
      <c r="F879" s="27">
        <f>54.6+496.2</f>
        <v>550.79999999999995</v>
      </c>
    </row>
    <row r="880" spans="1:6" s="29" customFormat="1" ht="30" x14ac:dyDescent="0.2">
      <c r="A880" s="28" t="s">
        <v>566</v>
      </c>
      <c r="B880" s="24" t="s">
        <v>21</v>
      </c>
      <c r="C880" s="24" t="s">
        <v>7</v>
      </c>
      <c r="D880" s="24" t="s">
        <v>544</v>
      </c>
      <c r="E880" s="24"/>
      <c r="F880" s="27">
        <f>F881</f>
        <v>172.8</v>
      </c>
    </row>
    <row r="881" spans="1:6" s="29" customFormat="1" ht="30" x14ac:dyDescent="0.2">
      <c r="A881" s="1" t="s">
        <v>88</v>
      </c>
      <c r="B881" s="24" t="s">
        <v>21</v>
      </c>
      <c r="C881" s="24" t="s">
        <v>7</v>
      </c>
      <c r="D881" s="24" t="s">
        <v>547</v>
      </c>
      <c r="E881" s="24" t="s">
        <v>85</v>
      </c>
      <c r="F881" s="27">
        <f>208.5-35.7</f>
        <v>172.8</v>
      </c>
    </row>
    <row r="882" spans="1:6" s="17" customFormat="1" ht="30" x14ac:dyDescent="0.2">
      <c r="A882" s="45" t="s">
        <v>490</v>
      </c>
      <c r="B882" s="24" t="s">
        <v>21</v>
      </c>
      <c r="C882" s="24" t="s">
        <v>7</v>
      </c>
      <c r="D882" s="24" t="s">
        <v>280</v>
      </c>
      <c r="E882" s="24"/>
      <c r="F882" s="27">
        <f>F883</f>
        <v>80505.899999999994</v>
      </c>
    </row>
    <row r="883" spans="1:6" s="17" customFormat="1" ht="30" x14ac:dyDescent="0.2">
      <c r="A883" s="26" t="s">
        <v>258</v>
      </c>
      <c r="B883" s="24" t="s">
        <v>21</v>
      </c>
      <c r="C883" s="24" t="s">
        <v>7</v>
      </c>
      <c r="D883" s="24" t="s">
        <v>311</v>
      </c>
      <c r="E883" s="24"/>
      <c r="F883" s="27">
        <f>F884+F887+F890+F893</f>
        <v>80505.899999999994</v>
      </c>
    </row>
    <row r="884" spans="1:6" s="17" customFormat="1" ht="30" x14ac:dyDescent="0.2">
      <c r="A884" s="1" t="s">
        <v>259</v>
      </c>
      <c r="B884" s="24" t="s">
        <v>21</v>
      </c>
      <c r="C884" s="24" t="s">
        <v>7</v>
      </c>
      <c r="D884" s="24" t="s">
        <v>312</v>
      </c>
      <c r="E884" s="24"/>
      <c r="F884" s="27">
        <f>F885</f>
        <v>79865.5</v>
      </c>
    </row>
    <row r="885" spans="1:6" s="17" customFormat="1" ht="31.5" customHeight="1" x14ac:dyDescent="0.2">
      <c r="A885" s="1" t="s">
        <v>260</v>
      </c>
      <c r="B885" s="24" t="s">
        <v>21</v>
      </c>
      <c r="C885" s="24" t="s">
        <v>7</v>
      </c>
      <c r="D885" s="24" t="s">
        <v>313</v>
      </c>
      <c r="E885" s="24"/>
      <c r="F885" s="27">
        <f>F886</f>
        <v>79865.5</v>
      </c>
    </row>
    <row r="886" spans="1:6" s="17" customFormat="1" ht="30" x14ac:dyDescent="0.2">
      <c r="A886" s="1" t="s">
        <v>88</v>
      </c>
      <c r="B886" s="24" t="s">
        <v>21</v>
      </c>
      <c r="C886" s="24" t="s">
        <v>7</v>
      </c>
      <c r="D886" s="24" t="s">
        <v>313</v>
      </c>
      <c r="E886" s="24" t="s">
        <v>85</v>
      </c>
      <c r="F886" s="27">
        <f>76318.6+3546.9</f>
        <v>79865.5</v>
      </c>
    </row>
    <row r="887" spans="1:6" s="17" customFormat="1" ht="30" x14ac:dyDescent="0.2">
      <c r="A887" s="1" t="s">
        <v>188</v>
      </c>
      <c r="B887" s="24" t="s">
        <v>21</v>
      </c>
      <c r="C887" s="24" t="s">
        <v>7</v>
      </c>
      <c r="D887" s="24" t="s">
        <v>314</v>
      </c>
      <c r="E887" s="24"/>
      <c r="F887" s="27">
        <f>F888</f>
        <v>540</v>
      </c>
    </row>
    <row r="888" spans="1:6" s="17" customFormat="1" ht="47.25" customHeight="1" x14ac:dyDescent="0.2">
      <c r="A888" s="1" t="s">
        <v>292</v>
      </c>
      <c r="B888" s="24" t="s">
        <v>21</v>
      </c>
      <c r="C888" s="24" t="s">
        <v>7</v>
      </c>
      <c r="D888" s="24" t="s">
        <v>315</v>
      </c>
      <c r="E888" s="24"/>
      <c r="F888" s="27">
        <f>F889</f>
        <v>540</v>
      </c>
    </row>
    <row r="889" spans="1:6" s="17" customFormat="1" ht="30" x14ac:dyDescent="0.2">
      <c r="A889" s="1" t="s">
        <v>88</v>
      </c>
      <c r="B889" s="24" t="s">
        <v>21</v>
      </c>
      <c r="C889" s="24" t="s">
        <v>7</v>
      </c>
      <c r="D889" s="24" t="s">
        <v>315</v>
      </c>
      <c r="E889" s="24" t="s">
        <v>85</v>
      </c>
      <c r="F889" s="27">
        <v>540</v>
      </c>
    </row>
    <row r="890" spans="1:6" s="17" customFormat="1" ht="45" x14ac:dyDescent="0.2">
      <c r="A890" s="1" t="s">
        <v>530</v>
      </c>
      <c r="B890" s="24" t="s">
        <v>21</v>
      </c>
      <c r="C890" s="24" t="s">
        <v>7</v>
      </c>
      <c r="D890" s="24" t="s">
        <v>526</v>
      </c>
      <c r="E890" s="24"/>
      <c r="F890" s="27">
        <f>F891</f>
        <v>60</v>
      </c>
    </row>
    <row r="891" spans="1:6" s="17" customFormat="1" ht="45" x14ac:dyDescent="0.2">
      <c r="A891" s="1" t="s">
        <v>531</v>
      </c>
      <c r="B891" s="24" t="s">
        <v>21</v>
      </c>
      <c r="C891" s="24" t="s">
        <v>7</v>
      </c>
      <c r="D891" s="24" t="s">
        <v>527</v>
      </c>
      <c r="E891" s="24"/>
      <c r="F891" s="27">
        <f>F892</f>
        <v>60</v>
      </c>
    </row>
    <row r="892" spans="1:6" s="17" customFormat="1" ht="30" x14ac:dyDescent="0.2">
      <c r="A892" s="1" t="s">
        <v>532</v>
      </c>
      <c r="B892" s="24" t="s">
        <v>21</v>
      </c>
      <c r="C892" s="24" t="s">
        <v>7</v>
      </c>
      <c r="D892" s="24" t="s">
        <v>527</v>
      </c>
      <c r="E892" s="24" t="s">
        <v>85</v>
      </c>
      <c r="F892" s="27">
        <v>60</v>
      </c>
    </row>
    <row r="893" spans="1:6" s="17" customFormat="1" ht="45" x14ac:dyDescent="0.2">
      <c r="A893" s="1" t="s">
        <v>533</v>
      </c>
      <c r="B893" s="24" t="s">
        <v>21</v>
      </c>
      <c r="C893" s="24" t="s">
        <v>7</v>
      </c>
      <c r="D893" s="24" t="s">
        <v>528</v>
      </c>
      <c r="E893" s="24"/>
      <c r="F893" s="27">
        <f>F894</f>
        <v>40.4</v>
      </c>
    </row>
    <row r="894" spans="1:6" s="17" customFormat="1" ht="45" x14ac:dyDescent="0.2">
      <c r="A894" s="1" t="s">
        <v>534</v>
      </c>
      <c r="B894" s="24" t="s">
        <v>21</v>
      </c>
      <c r="C894" s="24" t="s">
        <v>7</v>
      </c>
      <c r="D894" s="24" t="s">
        <v>529</v>
      </c>
      <c r="E894" s="24"/>
      <c r="F894" s="27">
        <f>F895</f>
        <v>40.4</v>
      </c>
    </row>
    <row r="895" spans="1:6" s="17" customFormat="1" ht="30" x14ac:dyDescent="0.2">
      <c r="A895" s="1" t="s">
        <v>532</v>
      </c>
      <c r="B895" s="24" t="s">
        <v>21</v>
      </c>
      <c r="C895" s="24" t="s">
        <v>7</v>
      </c>
      <c r="D895" s="24" t="s">
        <v>529</v>
      </c>
      <c r="E895" s="24" t="s">
        <v>85</v>
      </c>
      <c r="F895" s="27">
        <v>40.4</v>
      </c>
    </row>
    <row r="896" spans="1:6" s="35" customFormat="1" ht="14.25" x14ac:dyDescent="0.2">
      <c r="A896" s="53" t="s">
        <v>51</v>
      </c>
      <c r="B896" s="32" t="s">
        <v>21</v>
      </c>
      <c r="C896" s="32" t="s">
        <v>9</v>
      </c>
      <c r="D896" s="32"/>
      <c r="E896" s="32"/>
      <c r="F896" s="18">
        <f>F900+F897</f>
        <v>38067.800000000003</v>
      </c>
    </row>
    <row r="897" spans="1:6" s="17" customFormat="1" x14ac:dyDescent="0.2">
      <c r="A897" s="26" t="s">
        <v>95</v>
      </c>
      <c r="B897" s="2" t="s">
        <v>21</v>
      </c>
      <c r="C897" s="2" t="s">
        <v>9</v>
      </c>
      <c r="D897" s="24" t="s">
        <v>102</v>
      </c>
      <c r="E897" s="2"/>
      <c r="F897" s="22">
        <f>F898</f>
        <v>20000</v>
      </c>
    </row>
    <row r="898" spans="1:6" s="17" customFormat="1" ht="30" x14ac:dyDescent="0.2">
      <c r="A898" s="45" t="s">
        <v>262</v>
      </c>
      <c r="B898" s="2" t="s">
        <v>21</v>
      </c>
      <c r="C898" s="2" t="s">
        <v>9</v>
      </c>
      <c r="D898" s="24" t="s">
        <v>257</v>
      </c>
      <c r="E898" s="2"/>
      <c r="F898" s="22">
        <f>F899</f>
        <v>20000</v>
      </c>
    </row>
    <row r="899" spans="1:6" s="17" customFormat="1" ht="30" x14ac:dyDescent="0.2">
      <c r="A899" s="45" t="s">
        <v>83</v>
      </c>
      <c r="B899" s="2" t="s">
        <v>21</v>
      </c>
      <c r="C899" s="2" t="s">
        <v>9</v>
      </c>
      <c r="D899" s="24" t="s">
        <v>257</v>
      </c>
      <c r="E899" s="2" t="s">
        <v>81</v>
      </c>
      <c r="F899" s="22">
        <v>20000</v>
      </c>
    </row>
    <row r="900" spans="1:6" s="17" customFormat="1" ht="30" x14ac:dyDescent="0.2">
      <c r="A900" s="45" t="s">
        <v>490</v>
      </c>
      <c r="B900" s="2" t="s">
        <v>21</v>
      </c>
      <c r="C900" s="2" t="s">
        <v>9</v>
      </c>
      <c r="D900" s="24" t="s">
        <v>280</v>
      </c>
      <c r="E900" s="2"/>
      <c r="F900" s="16">
        <f>F901</f>
        <v>18067.8</v>
      </c>
    </row>
    <row r="901" spans="1:6" s="17" customFormat="1" ht="30" x14ac:dyDescent="0.2">
      <c r="A901" s="26" t="s">
        <v>258</v>
      </c>
      <c r="B901" s="2" t="s">
        <v>21</v>
      </c>
      <c r="C901" s="2" t="s">
        <v>9</v>
      </c>
      <c r="D901" s="24" t="s">
        <v>311</v>
      </c>
      <c r="E901" s="2"/>
      <c r="F901" s="22">
        <f>F902+F906</f>
        <v>18067.8</v>
      </c>
    </row>
    <row r="902" spans="1:6" s="17" customFormat="1" ht="30" x14ac:dyDescent="0.2">
      <c r="A902" s="45" t="s">
        <v>261</v>
      </c>
      <c r="B902" s="2" t="s">
        <v>21</v>
      </c>
      <c r="C902" s="2" t="s">
        <v>9</v>
      </c>
      <c r="D902" s="24" t="s">
        <v>316</v>
      </c>
      <c r="E902" s="2"/>
      <c r="F902" s="22">
        <f>F903</f>
        <v>16201</v>
      </c>
    </row>
    <row r="903" spans="1:6" s="17" customFormat="1" ht="30" x14ac:dyDescent="0.2">
      <c r="A903" s="45" t="s">
        <v>262</v>
      </c>
      <c r="B903" s="2" t="s">
        <v>21</v>
      </c>
      <c r="C903" s="2" t="s">
        <v>9</v>
      </c>
      <c r="D903" s="24" t="s">
        <v>317</v>
      </c>
      <c r="E903" s="2"/>
      <c r="F903" s="22">
        <f>F904+F905</f>
        <v>16201</v>
      </c>
    </row>
    <row r="904" spans="1:6" s="17" customFormat="1" ht="30" x14ac:dyDescent="0.2">
      <c r="A904" s="45" t="s">
        <v>83</v>
      </c>
      <c r="B904" s="2" t="s">
        <v>21</v>
      </c>
      <c r="C904" s="2" t="s">
        <v>9</v>
      </c>
      <c r="D904" s="24" t="s">
        <v>317</v>
      </c>
      <c r="E904" s="2" t="s">
        <v>81</v>
      </c>
      <c r="F904" s="22">
        <v>15975.3</v>
      </c>
    </row>
    <row r="905" spans="1:6" s="17" customFormat="1" x14ac:dyDescent="0.2">
      <c r="A905" s="26" t="s">
        <v>91</v>
      </c>
      <c r="B905" s="2" t="s">
        <v>21</v>
      </c>
      <c r="C905" s="2" t="s">
        <v>9</v>
      </c>
      <c r="D905" s="24" t="s">
        <v>317</v>
      </c>
      <c r="E905" s="2" t="s">
        <v>90</v>
      </c>
      <c r="F905" s="22">
        <v>225.7</v>
      </c>
    </row>
    <row r="906" spans="1:6" s="17" customFormat="1" ht="30" x14ac:dyDescent="0.2">
      <c r="A906" s="45" t="s">
        <v>318</v>
      </c>
      <c r="B906" s="2" t="s">
        <v>21</v>
      </c>
      <c r="C906" s="2" t="s">
        <v>9</v>
      </c>
      <c r="D906" s="24" t="s">
        <v>319</v>
      </c>
      <c r="E906" s="2"/>
      <c r="F906" s="22">
        <f>F907</f>
        <v>1866.8</v>
      </c>
    </row>
    <row r="907" spans="1:6" s="17" customFormat="1" ht="30" x14ac:dyDescent="0.2">
      <c r="A907" s="45" t="s">
        <v>320</v>
      </c>
      <c r="B907" s="2" t="s">
        <v>21</v>
      </c>
      <c r="C907" s="2" t="s">
        <v>9</v>
      </c>
      <c r="D907" s="24" t="s">
        <v>321</v>
      </c>
      <c r="E907" s="2"/>
      <c r="F907" s="22">
        <f>F908</f>
        <v>1866.8</v>
      </c>
    </row>
    <row r="908" spans="1:6" s="17" customFormat="1" ht="30" x14ac:dyDescent="0.2">
      <c r="A908" s="45" t="s">
        <v>83</v>
      </c>
      <c r="B908" s="2" t="s">
        <v>21</v>
      </c>
      <c r="C908" s="2" t="s">
        <v>9</v>
      </c>
      <c r="D908" s="24" t="s">
        <v>321</v>
      </c>
      <c r="E908" s="2" t="s">
        <v>81</v>
      </c>
      <c r="F908" s="22">
        <v>1866.8</v>
      </c>
    </row>
    <row r="909" spans="1:6" s="35" customFormat="1" x14ac:dyDescent="0.2">
      <c r="A909" s="25"/>
      <c r="B909" s="2"/>
      <c r="C909" s="2"/>
      <c r="D909" s="2"/>
      <c r="E909" s="2"/>
      <c r="F909" s="22"/>
    </row>
    <row r="910" spans="1:6" x14ac:dyDescent="0.2">
      <c r="A910" s="12" t="s">
        <v>20</v>
      </c>
      <c r="B910" s="13" t="s">
        <v>52</v>
      </c>
      <c r="C910" s="13"/>
      <c r="D910" s="13"/>
      <c r="E910" s="13"/>
      <c r="F910" s="21">
        <f>F913</f>
        <v>407843.3</v>
      </c>
    </row>
    <row r="911" spans="1:6" s="35" customFormat="1" ht="32.25" customHeight="1" x14ac:dyDescent="0.2">
      <c r="A911" s="41" t="s">
        <v>54</v>
      </c>
      <c r="B911" s="32" t="s">
        <v>52</v>
      </c>
      <c r="C911" s="32" t="s">
        <v>7</v>
      </c>
      <c r="D911" s="32"/>
      <c r="E911" s="32"/>
      <c r="F911" s="21">
        <f>F912</f>
        <v>407843.3</v>
      </c>
    </row>
    <row r="912" spans="1:6" s="29" customFormat="1" x14ac:dyDescent="0.2">
      <c r="A912" s="28" t="s">
        <v>95</v>
      </c>
      <c r="B912" s="24" t="s">
        <v>52</v>
      </c>
      <c r="C912" s="24" t="s">
        <v>7</v>
      </c>
      <c r="D912" s="24" t="s">
        <v>102</v>
      </c>
      <c r="E912" s="24"/>
      <c r="F912" s="43">
        <f>F913</f>
        <v>407843.3</v>
      </c>
    </row>
    <row r="913" spans="1:7" x14ac:dyDescent="0.2">
      <c r="A913" s="45" t="s">
        <v>22</v>
      </c>
      <c r="B913" s="24" t="s">
        <v>52</v>
      </c>
      <c r="C913" s="24" t="s">
        <v>7</v>
      </c>
      <c r="D913" s="2" t="s">
        <v>128</v>
      </c>
      <c r="E913" s="2"/>
      <c r="F913" s="22">
        <f>F914</f>
        <v>407843.3</v>
      </c>
    </row>
    <row r="914" spans="1:7" x14ac:dyDescent="0.2">
      <c r="A914" s="45" t="s">
        <v>23</v>
      </c>
      <c r="B914" s="24" t="s">
        <v>52</v>
      </c>
      <c r="C914" s="24" t="s">
        <v>7</v>
      </c>
      <c r="D914" s="2" t="s">
        <v>129</v>
      </c>
      <c r="E914" s="2"/>
      <c r="F914" s="22">
        <f>F915</f>
        <v>407843.3</v>
      </c>
    </row>
    <row r="915" spans="1:7" x14ac:dyDescent="0.2">
      <c r="A915" s="56" t="s">
        <v>93</v>
      </c>
      <c r="B915" s="24" t="s">
        <v>52</v>
      </c>
      <c r="C915" s="24" t="s">
        <v>7</v>
      </c>
      <c r="D915" s="2" t="s">
        <v>129</v>
      </c>
      <c r="E915" s="2" t="s">
        <v>92</v>
      </c>
      <c r="F915" s="22">
        <f>567750-113265-46641.7</f>
        <v>407843.3</v>
      </c>
    </row>
    <row r="916" spans="1:7" x14ac:dyDescent="0.2">
      <c r="A916" s="56"/>
      <c r="C916" s="2"/>
      <c r="D916" s="2"/>
      <c r="E916" s="2"/>
      <c r="F916" s="22"/>
    </row>
    <row r="917" spans="1:7" s="35" customFormat="1" ht="28.5" x14ac:dyDescent="0.2">
      <c r="A917" s="57" t="s">
        <v>406</v>
      </c>
      <c r="B917" s="32" t="s">
        <v>57</v>
      </c>
      <c r="C917" s="32"/>
      <c r="D917" s="32"/>
      <c r="E917" s="80"/>
      <c r="F917" s="18">
        <f>F918</f>
        <v>39759</v>
      </c>
    </row>
    <row r="918" spans="1:7" s="35" customFormat="1" ht="14.25" x14ac:dyDescent="0.2">
      <c r="A918" s="58" t="s">
        <v>73</v>
      </c>
      <c r="B918" s="32" t="s">
        <v>57</v>
      </c>
      <c r="C918" s="32" t="s">
        <v>12</v>
      </c>
      <c r="D918" s="32"/>
      <c r="E918" s="80"/>
      <c r="F918" s="18">
        <f>F919</f>
        <v>39759</v>
      </c>
    </row>
    <row r="919" spans="1:7" s="35" customFormat="1" x14ac:dyDescent="0.2">
      <c r="A919" s="28" t="s">
        <v>95</v>
      </c>
      <c r="B919" s="24" t="s">
        <v>57</v>
      </c>
      <c r="C919" s="24" t="s">
        <v>12</v>
      </c>
      <c r="D919" s="24" t="s">
        <v>102</v>
      </c>
      <c r="E919" s="81"/>
      <c r="F919" s="27">
        <f>F920</f>
        <v>39759</v>
      </c>
    </row>
    <row r="920" spans="1:7" ht="60" x14ac:dyDescent="0.2">
      <c r="A920" s="59" t="s">
        <v>72</v>
      </c>
      <c r="B920" s="2" t="s">
        <v>57</v>
      </c>
      <c r="C920" s="2" t="s">
        <v>12</v>
      </c>
      <c r="D920" s="2" t="s">
        <v>398</v>
      </c>
      <c r="E920" s="82"/>
      <c r="F920" s="16">
        <f>F921</f>
        <v>39759</v>
      </c>
    </row>
    <row r="921" spans="1:7" x14ac:dyDescent="0.2">
      <c r="A921" s="59" t="s">
        <v>399</v>
      </c>
      <c r="B921" s="2" t="s">
        <v>57</v>
      </c>
      <c r="C921" s="2" t="s">
        <v>12</v>
      </c>
      <c r="D921" s="2" t="s">
        <v>398</v>
      </c>
      <c r="E921" s="82">
        <v>500</v>
      </c>
      <c r="F921" s="22">
        <v>39759</v>
      </c>
    </row>
    <row r="922" spans="1:7" x14ac:dyDescent="0.2">
      <c r="A922" s="59"/>
      <c r="C922" s="2"/>
      <c r="D922" s="2"/>
      <c r="E922" s="82"/>
      <c r="F922" s="22"/>
    </row>
    <row r="923" spans="1:7" x14ac:dyDescent="0.2">
      <c r="A923" s="59"/>
      <c r="C923" s="2"/>
      <c r="D923" s="2"/>
      <c r="E923" s="82"/>
      <c r="F923" s="22"/>
    </row>
    <row r="924" spans="1:7" s="39" customFormat="1" ht="18.75" x14ac:dyDescent="0.2">
      <c r="A924" s="36" t="s">
        <v>47</v>
      </c>
      <c r="B924" s="37"/>
      <c r="C924" s="38"/>
      <c r="D924" s="38"/>
      <c r="E924" s="38"/>
      <c r="F924" s="64">
        <f>F19+F302+F322+F390+F476+F500+F750+F821+F834+F864+F910+F917</f>
        <v>25652483.449999999</v>
      </c>
      <c r="G924" s="64"/>
    </row>
    <row r="925" spans="1:7" s="39" customFormat="1" ht="18.75" x14ac:dyDescent="0.2">
      <c r="A925" s="36"/>
      <c r="B925" s="37"/>
      <c r="C925" s="38"/>
      <c r="D925" s="38"/>
      <c r="E925" s="38"/>
      <c r="F925" s="64"/>
    </row>
    <row r="926" spans="1:7" x14ac:dyDescent="0.2">
      <c r="F926" s="69"/>
    </row>
    <row r="927" spans="1:7" s="6" customFormat="1" ht="18.75" x14ac:dyDescent="0.2">
      <c r="A927" s="71" t="s">
        <v>660</v>
      </c>
      <c r="B927" s="5"/>
      <c r="C927" s="72"/>
      <c r="D927" s="72"/>
      <c r="E927" s="72"/>
      <c r="F927" s="73" t="s">
        <v>661</v>
      </c>
    </row>
    <row r="928" spans="1:7" x14ac:dyDescent="0.2">
      <c r="F928" s="70"/>
    </row>
  </sheetData>
  <mergeCells count="10">
    <mergeCell ref="A14:F14"/>
    <mergeCell ref="A9:F9"/>
    <mergeCell ref="A11:F11"/>
    <mergeCell ref="A10:F10"/>
    <mergeCell ref="D1:F1"/>
    <mergeCell ref="D2:F2"/>
    <mergeCell ref="D3:F3"/>
    <mergeCell ref="D4:F4"/>
    <mergeCell ref="A12:F12"/>
    <mergeCell ref="A13:F13"/>
  </mergeCells>
  <phoneticPr fontId="11" type="noConversion"/>
  <printOptions horizontalCentered="1"/>
  <pageMargins left="0.59055118110236227" right="0.39370078740157483" top="0.59055118110236227" bottom="0.39370078740157483" header="0.31496062992125984" footer="0.51181102362204722"/>
  <pageSetup paperSize="9" scale="85" firstPageNumber="7" orientation="portrait" r:id="rId1"/>
  <headerFooter differentFirst="1" alignWithMargins="0">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2018</vt:lpstr>
      <vt:lpstr>'2018'!Заголовки_для_печати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Димеева Лейсан Г (FIN-092-PC - dimeeva.l)</cp:lastModifiedBy>
  <cp:lastPrinted>2018-03-29T07:35:00Z</cp:lastPrinted>
  <dcterms:created xsi:type="dcterms:W3CDTF">2008-11-26T14:44:44Z</dcterms:created>
  <dcterms:modified xsi:type="dcterms:W3CDTF">2018-10-18T06:54:10Z</dcterms:modified>
</cp:coreProperties>
</file>